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AppData\Roaming\memsource\mso-converter\excel\"/>
    </mc:Choice>
  </mc:AlternateContent>
  <xr:revisionPtr revIDLastSave="0" documentId="8_{5322AB76-23BD-4D32-99CB-3F58F41D888F}" xr6:coauthVersionLast="36" xr6:coauthVersionMax="36" xr10:uidLastSave="{00000000-0000-0000-0000-000000000000}"/>
  <bookViews>
    <workbookView xWindow="0" yWindow="0" windowWidth="13650" windowHeight="13215" tabRatio="986" activeTab="5"/>
  </bookViews>
  <sheets>
    <sheet name="Inc1" sheetId="1" r:id="rId1"/>
    <sheet name="CF1" sheetId="2" r:id="rId2"/>
    <sheet name="BS1" sheetId="3" r:id="rId3"/>
    <sheet name="Loan" sheetId="4" r:id="rId4"/>
    <sheet name="Am" sheetId="5" r:id="rId5"/>
    <sheet name="BE" sheetId="6" r:id="rId6"/>
  </sheets>
  <definedNames>
    <definedName name="_xlnm.Print_Area" localSheetId="4">Am!$A$1:$E$54</definedName>
    <definedName name="_xlnm.Print_Area" localSheetId="5">BE!$B$3:$L$54</definedName>
    <definedName name="_xlnm.Print_Area" localSheetId="2">'BS1'!$B$2:$I$42</definedName>
    <definedName name="_xlnm.Print_Area" localSheetId="1">'CF1'!$B$2:$G$64</definedName>
    <definedName name="_xlnm.Print_Area" localSheetId="0">'Inc1'!$B$3:$G$61</definedName>
    <definedName name="_xlnm.Print_Area" localSheetId="3">Loan!$A$1:$C$21</definedName>
  </definedNames>
  <calcPr calcId="191029"/>
  <fileRecoveryPr repairLoad="1"/>
</workbook>
</file>

<file path=xl/calcChain.xml><?xml version="1.0" encoding="utf-8"?>
<calcChain xmlns="http://schemas.openxmlformats.org/spreadsheetml/2006/main">
  <c r="F43" i="6" l="1"/>
  <c r="B43" i="6"/>
  <c r="F40" i="6"/>
  <c r="B40" i="6"/>
  <c r="F39" i="6"/>
  <c r="B39" i="6"/>
  <c r="F38" i="6"/>
  <c r="B38" i="6"/>
  <c r="F37" i="6"/>
  <c r="B37" i="6"/>
  <c r="F36" i="6"/>
  <c r="B36" i="6"/>
  <c r="F35" i="6"/>
  <c r="B35" i="6"/>
  <c r="F34" i="6"/>
  <c r="B34" i="6"/>
  <c r="F33" i="6"/>
  <c r="B33" i="6"/>
  <c r="F32" i="6"/>
  <c r="B32" i="6"/>
  <c r="F31" i="6"/>
  <c r="B31" i="6"/>
  <c r="F30" i="6"/>
  <c r="B30" i="6"/>
  <c r="F29" i="6"/>
  <c r="B29" i="6"/>
  <c r="F28" i="6"/>
  <c r="B28" i="6"/>
  <c r="F27" i="6"/>
  <c r="B27" i="6"/>
  <c r="F26" i="6"/>
  <c r="B26" i="6"/>
  <c r="F25" i="6"/>
  <c r="B25" i="6"/>
  <c r="F24" i="6"/>
  <c r="B24" i="6"/>
  <c r="F23" i="6"/>
  <c r="B23" i="6"/>
  <c r="F22" i="6"/>
  <c r="B22" i="6"/>
  <c r="F21" i="6"/>
  <c r="B21" i="6"/>
  <c r="F20" i="6"/>
  <c r="B20" i="6"/>
  <c r="F19" i="6"/>
  <c r="B19" i="6"/>
  <c r="F18" i="6"/>
  <c r="B18" i="6"/>
  <c r="F17" i="6"/>
  <c r="B17" i="6"/>
  <c r="F16" i="6"/>
  <c r="B16" i="6"/>
  <c r="F15" i="6"/>
  <c r="B15" i="6"/>
  <c r="F14" i="6"/>
  <c r="B14" i="6"/>
  <c r="F13" i="6"/>
  <c r="B13" i="6"/>
  <c r="F12" i="6"/>
  <c r="B12" i="6"/>
  <c r="F5" i="6"/>
  <c r="A1" i="5"/>
  <c r="B1" i="4"/>
  <c r="G4" i="3"/>
  <c r="B4" i="3"/>
  <c r="B3" i="3"/>
  <c r="G2" i="3"/>
  <c r="B2" i="3"/>
  <c r="G63" i="2"/>
  <c r="D50" i="2"/>
  <c r="G49" i="2"/>
  <c r="D49" i="2"/>
  <c r="G48" i="2"/>
  <c r="D48" i="2"/>
  <c r="G47" i="2"/>
  <c r="D47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9" i="2"/>
  <c r="B4" i="2"/>
  <c r="B3" i="2"/>
  <c r="B2" i="2"/>
  <c r="K54" i="6"/>
  <c r="K53" i="6"/>
  <c r="K52" i="6"/>
  <c r="K51" i="6"/>
  <c r="K50" i="6"/>
  <c r="J50" i="6"/>
  <c r="K49" i="6"/>
  <c r="I44" i="6"/>
  <c r="AE10" i="5"/>
  <c r="K10" i="5"/>
  <c r="AE9" i="5"/>
  <c r="K9" i="5"/>
  <c r="A9" i="5"/>
  <c r="A10" i="5" s="1"/>
  <c r="AE8" i="5"/>
  <c r="K8" i="5"/>
  <c r="A8" i="5"/>
  <c r="AE7" i="5"/>
  <c r="U7" i="5"/>
  <c r="K7" i="5"/>
  <c r="Q43" i="4"/>
  <c r="P37" i="4"/>
  <c r="B37" i="4"/>
  <c r="Z33" i="4"/>
  <c r="Q39" i="4" s="1"/>
  <c r="Y33" i="4"/>
  <c r="Z31" i="4" s="1"/>
  <c r="Z32" i="4" s="1"/>
  <c r="X33" i="4"/>
  <c r="W33" i="4"/>
  <c r="V33" i="4"/>
  <c r="U33" i="4"/>
  <c r="T33" i="4"/>
  <c r="U31" i="4" s="1"/>
  <c r="U32" i="4" s="1"/>
  <c r="S33" i="4"/>
  <c r="L33" i="4"/>
  <c r="C39" i="4" s="1"/>
  <c r="K33" i="4"/>
  <c r="L31" i="4" s="1"/>
  <c r="L32" i="4" s="1"/>
  <c r="J33" i="4"/>
  <c r="I33" i="4"/>
  <c r="H33" i="4"/>
  <c r="G33" i="4"/>
  <c r="F33" i="4"/>
  <c r="G31" i="4" s="1"/>
  <c r="G32" i="4" s="1"/>
  <c r="E33" i="4"/>
  <c r="X32" i="4"/>
  <c r="J32" i="4"/>
  <c r="Y31" i="4"/>
  <c r="Y32" i="4" s="1"/>
  <c r="X31" i="4"/>
  <c r="V31" i="4"/>
  <c r="V32" i="4" s="1"/>
  <c r="T31" i="4"/>
  <c r="T32" i="4" s="1"/>
  <c r="S31" i="4"/>
  <c r="W31" i="4" s="1"/>
  <c r="W32" i="4" s="1"/>
  <c r="K31" i="4"/>
  <c r="K32" i="4" s="1"/>
  <c r="J31" i="4"/>
  <c r="H31" i="4"/>
  <c r="H32" i="4" s="1"/>
  <c r="F31" i="4"/>
  <c r="F32" i="4" s="1"/>
  <c r="E31" i="4"/>
  <c r="I31" i="4" s="1"/>
  <c r="I32" i="4" s="1"/>
  <c r="T30" i="4"/>
  <c r="U30" i="4" s="1"/>
  <c r="V30" i="4" s="1"/>
  <c r="W30" i="4" s="1"/>
  <c r="X30" i="4" s="1"/>
  <c r="Y30" i="4" s="1"/>
  <c r="Z30" i="4" s="1"/>
  <c r="F30" i="4"/>
  <c r="G30" i="4" s="1"/>
  <c r="H30" i="4" s="1"/>
  <c r="I30" i="4" s="1"/>
  <c r="J30" i="4" s="1"/>
  <c r="K30" i="4" s="1"/>
  <c r="L30" i="4" s="1"/>
  <c r="C19" i="4"/>
  <c r="Q17" i="4"/>
  <c r="P15" i="4"/>
  <c r="Z11" i="4"/>
  <c r="Y11" i="4"/>
  <c r="X11" i="4"/>
  <c r="W11" i="4"/>
  <c r="V11" i="4"/>
  <c r="U11" i="4"/>
  <c r="V9" i="4" s="1"/>
  <c r="V10" i="4" s="1"/>
  <c r="T11" i="4"/>
  <c r="S11" i="4"/>
  <c r="L11" i="4"/>
  <c r="C17" i="4" s="1"/>
  <c r="K11" i="4"/>
  <c r="J11" i="4"/>
  <c r="I11" i="4"/>
  <c r="H11" i="4"/>
  <c r="G11" i="4"/>
  <c r="H9" i="4" s="1"/>
  <c r="H10" i="4" s="1"/>
  <c r="F11" i="4"/>
  <c r="E11" i="4"/>
  <c r="U10" i="4"/>
  <c r="Y9" i="4"/>
  <c r="Y10" i="4" s="1"/>
  <c r="U9" i="4"/>
  <c r="S9" i="4"/>
  <c r="T9" i="4" s="1"/>
  <c r="T10" i="4" s="1"/>
  <c r="K9" i="4"/>
  <c r="K10" i="4" s="1"/>
  <c r="G9" i="4"/>
  <c r="G10" i="4" s="1"/>
  <c r="E9" i="4"/>
  <c r="F9" i="4" s="1"/>
  <c r="F10" i="4" s="1"/>
  <c r="U8" i="4"/>
  <c r="V8" i="4" s="1"/>
  <c r="W8" i="4" s="1"/>
  <c r="X8" i="4" s="1"/>
  <c r="Y8" i="4" s="1"/>
  <c r="Z8" i="4" s="1"/>
  <c r="T8" i="4"/>
  <c r="F8" i="4"/>
  <c r="G8" i="4" s="1"/>
  <c r="H8" i="4" s="1"/>
  <c r="I8" i="4" s="1"/>
  <c r="J8" i="4" s="1"/>
  <c r="K8" i="4" s="1"/>
  <c r="L8" i="4" s="1"/>
  <c r="H25" i="3"/>
  <c r="G19" i="3"/>
  <c r="G14" i="3"/>
  <c r="G53" i="2"/>
  <c r="G52" i="2"/>
  <c r="G51" i="2"/>
  <c r="G14" i="2"/>
  <c r="G57" i="1"/>
  <c r="E57" i="1"/>
  <c r="G56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E42" i="1"/>
  <c r="G41" i="1"/>
  <c r="E41" i="1"/>
  <c r="G40" i="1"/>
  <c r="E40" i="1"/>
  <c r="G39" i="1"/>
  <c r="E39" i="1"/>
  <c r="G38" i="1"/>
  <c r="E38" i="1"/>
  <c r="G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G29" i="1"/>
  <c r="E29" i="1"/>
  <c r="G28" i="1"/>
  <c r="E28" i="1"/>
  <c r="G27" i="1"/>
  <c r="E27" i="1"/>
  <c r="G26" i="1"/>
  <c r="E26" i="1"/>
  <c r="G25" i="1"/>
  <c r="E25" i="1"/>
  <c r="G21" i="1"/>
  <c r="F20" i="1"/>
  <c r="G19" i="1"/>
  <c r="G18" i="1"/>
  <c r="G17" i="1"/>
  <c r="G16" i="1"/>
  <c r="G15" i="1"/>
  <c r="G12" i="1"/>
  <c r="B7" i="5" l="1"/>
  <c r="E6" i="5"/>
  <c r="C21" i="4"/>
  <c r="AM10" i="5"/>
  <c r="AE11" i="5"/>
  <c r="S10" i="5"/>
  <c r="K11" i="5"/>
  <c r="I10" i="5"/>
  <c r="A11" i="5"/>
  <c r="H6" i="5"/>
  <c r="I7" i="5"/>
  <c r="AB6" i="5"/>
  <c r="AB7" i="5" s="1"/>
  <c r="AB8" i="5" s="1"/>
  <c r="C41" i="4"/>
  <c r="AL6" i="5"/>
  <c r="AL7" i="5" s="1"/>
  <c r="AL8" i="5" s="1"/>
  <c r="AL9" i="5" s="1"/>
  <c r="AL10" i="5" s="1"/>
  <c r="AL11" i="5" s="1"/>
  <c r="Q41" i="4"/>
  <c r="AI6" i="5" s="1"/>
  <c r="F7" i="6"/>
  <c r="F9" i="6" s="1"/>
  <c r="G17" i="2"/>
  <c r="F22" i="1"/>
  <c r="G20" i="1"/>
  <c r="R6" i="5"/>
  <c r="Q19" i="4"/>
  <c r="I9" i="4"/>
  <c r="I10" i="4" s="1"/>
  <c r="W9" i="4"/>
  <c r="W10" i="4" s="1"/>
  <c r="AC7" i="5"/>
  <c r="J9" i="4"/>
  <c r="J10" i="4" s="1"/>
  <c r="X9" i="4"/>
  <c r="X10" i="4" s="1"/>
  <c r="E32" i="4"/>
  <c r="S32" i="4"/>
  <c r="I8" i="5"/>
  <c r="U8" i="5"/>
  <c r="L9" i="4"/>
  <c r="L10" i="4" s="1"/>
  <c r="Z9" i="4"/>
  <c r="Z10" i="4" s="1"/>
  <c r="E10" i="4"/>
  <c r="S10" i="4"/>
  <c r="S7" i="5"/>
  <c r="L7" i="5"/>
  <c r="AF7" i="5"/>
  <c r="AM7" i="5"/>
  <c r="I9" i="5"/>
  <c r="S8" i="5"/>
  <c r="AM8" i="5"/>
  <c r="S9" i="5"/>
  <c r="AM9" i="5"/>
  <c r="G22" i="1" l="1"/>
  <c r="H7" i="5"/>
  <c r="H8" i="5" s="1"/>
  <c r="H9" i="5" s="1"/>
  <c r="H10" i="5" s="1"/>
  <c r="H11" i="5" s="1"/>
  <c r="H12" i="5" s="1"/>
  <c r="R7" i="5"/>
  <c r="R8" i="5" s="1"/>
  <c r="R9" i="5" s="1"/>
  <c r="R10" i="5" s="1"/>
  <c r="R11" i="5" s="1"/>
  <c r="R12" i="5" s="1"/>
  <c r="AO7" i="5"/>
  <c r="AC8" i="5"/>
  <c r="U9" i="5"/>
  <c r="AB9" i="5" s="1"/>
  <c r="I11" i="5"/>
  <c r="A12" i="5"/>
  <c r="AM11" i="5"/>
  <c r="AE12" i="5"/>
  <c r="AO8" i="5"/>
  <c r="AH7" i="5"/>
  <c r="AG7" i="5"/>
  <c r="AI7" i="5"/>
  <c r="N7" i="5"/>
  <c r="M7" i="5"/>
  <c r="O7" i="5"/>
  <c r="AJ6" i="5"/>
  <c r="AK6" i="5" s="1"/>
  <c r="AL12" i="5"/>
  <c r="O6" i="5"/>
  <c r="Q21" i="4"/>
  <c r="Y6" i="5"/>
  <c r="V7" i="5"/>
  <c r="C43" i="4"/>
  <c r="S11" i="5"/>
  <c r="K12" i="5"/>
  <c r="C7" i="5"/>
  <c r="D7" i="5" s="1"/>
  <c r="E7" i="5" l="1"/>
  <c r="AM12" i="5"/>
  <c r="AE13" i="5"/>
  <c r="X7" i="5"/>
  <c r="Y7" i="5" s="1"/>
  <c r="W7" i="5"/>
  <c r="P7" i="5"/>
  <c r="Q7" i="5" s="1"/>
  <c r="L8" i="5"/>
  <c r="AA6" i="5"/>
  <c r="Z6" i="5"/>
  <c r="I12" i="5"/>
  <c r="A13" i="5"/>
  <c r="P6" i="5"/>
  <c r="Q6" i="5" s="1"/>
  <c r="AJ7" i="5"/>
  <c r="AK7" i="5"/>
  <c r="AF8" i="5"/>
  <c r="AL13" i="5"/>
  <c r="S12" i="5"/>
  <c r="K13" i="5"/>
  <c r="R13" i="5" s="1"/>
  <c r="AC9" i="5"/>
  <c r="AO9" i="5" s="1"/>
  <c r="U10" i="5"/>
  <c r="AB10" i="5" s="1"/>
  <c r="AB11" i="5" l="1"/>
  <c r="Z7" i="5"/>
  <c r="AA7" i="5" s="1"/>
  <c r="V8" i="5"/>
  <c r="R14" i="5"/>
  <c r="AM13" i="5"/>
  <c r="AE14" i="5"/>
  <c r="U11" i="5"/>
  <c r="AC10" i="5"/>
  <c r="AO10" i="5" s="1"/>
  <c r="S13" i="5"/>
  <c r="K14" i="5"/>
  <c r="I13" i="5"/>
  <c r="A14" i="5"/>
  <c r="N8" i="5"/>
  <c r="M8" i="5"/>
  <c r="O8" i="5"/>
  <c r="H13" i="5"/>
  <c r="AL14" i="5"/>
  <c r="B8" i="5"/>
  <c r="AH8" i="5"/>
  <c r="AG8" i="5"/>
  <c r="AI8" i="5"/>
  <c r="I14" i="5" l="1"/>
  <c r="A15" i="5"/>
  <c r="AM14" i="5"/>
  <c r="AE15" i="5"/>
  <c r="AL15" i="5"/>
  <c r="H14" i="5"/>
  <c r="S14" i="5"/>
  <c r="K15" i="5"/>
  <c r="R15" i="5" s="1"/>
  <c r="AJ8" i="5"/>
  <c r="AK8" i="5" s="1"/>
  <c r="AF9" i="5"/>
  <c r="P8" i="5"/>
  <c r="Q8" i="5" s="1"/>
  <c r="L9" i="5"/>
  <c r="X8" i="5"/>
  <c r="Y8" i="5" s="1"/>
  <c r="W8" i="5"/>
  <c r="C8" i="5"/>
  <c r="AC11" i="5"/>
  <c r="AO11" i="5" s="1"/>
  <c r="U12" i="5"/>
  <c r="AA8" i="5" l="1"/>
  <c r="Z8" i="5"/>
  <c r="V9" i="5"/>
  <c r="D8" i="5"/>
  <c r="AH9" i="5"/>
  <c r="AG9" i="5"/>
  <c r="AI9" i="5"/>
  <c r="AM15" i="5"/>
  <c r="AE16" i="5"/>
  <c r="AL16" i="5"/>
  <c r="U13" i="5"/>
  <c r="AC12" i="5"/>
  <c r="AO12" i="5" s="1"/>
  <c r="N9" i="5"/>
  <c r="O9" i="5" s="1"/>
  <c r="M9" i="5"/>
  <c r="AB12" i="5"/>
  <c r="AB13" i="5" s="1"/>
  <c r="S15" i="5"/>
  <c r="K16" i="5"/>
  <c r="I15" i="5"/>
  <c r="A16" i="5"/>
  <c r="H15" i="5"/>
  <c r="Q9" i="5" l="1"/>
  <c r="P9" i="5"/>
  <c r="L10" i="5"/>
  <c r="S16" i="5"/>
  <c r="K17" i="5"/>
  <c r="AC13" i="5"/>
  <c r="AO13" i="5" s="1"/>
  <c r="U14" i="5"/>
  <c r="E8" i="5"/>
  <c r="AL17" i="5"/>
  <c r="H16" i="5"/>
  <c r="H17" i="5" s="1"/>
  <c r="AM16" i="5"/>
  <c r="AE17" i="5"/>
  <c r="R16" i="5"/>
  <c r="R17" i="5" s="1"/>
  <c r="AJ9" i="5"/>
  <c r="AK9" i="5" s="1"/>
  <c r="AF10" i="5"/>
  <c r="X9" i="5"/>
  <c r="Y9" i="5" s="1"/>
  <c r="W9" i="5"/>
  <c r="I16" i="5"/>
  <c r="A17" i="5"/>
  <c r="AA9" i="5" l="1"/>
  <c r="Z9" i="5"/>
  <c r="V10" i="5"/>
  <c r="AC14" i="5"/>
  <c r="AO14" i="5" s="1"/>
  <c r="U15" i="5"/>
  <c r="AH10" i="5"/>
  <c r="AI10" i="5" s="1"/>
  <c r="AG10" i="5"/>
  <c r="S17" i="5"/>
  <c r="K18" i="5"/>
  <c r="B9" i="5"/>
  <c r="I17" i="5"/>
  <c r="A18" i="5"/>
  <c r="H18" i="5" s="1"/>
  <c r="R18" i="5"/>
  <c r="N10" i="5"/>
  <c r="O10" i="5" s="1"/>
  <c r="M10" i="5"/>
  <c r="AB14" i="5"/>
  <c r="AM17" i="5"/>
  <c r="AE18" i="5"/>
  <c r="AJ10" i="5" l="1"/>
  <c r="AK10" i="5" s="1"/>
  <c r="AF11" i="5"/>
  <c r="P10" i="5"/>
  <c r="Q10" i="5" s="1"/>
  <c r="L11" i="5"/>
  <c r="AC15" i="5"/>
  <c r="AO15" i="5" s="1"/>
  <c r="U16" i="5"/>
  <c r="S18" i="5"/>
  <c r="K19" i="5"/>
  <c r="AM18" i="5"/>
  <c r="AE19" i="5"/>
  <c r="AL18" i="5"/>
  <c r="AL19" i="5" s="1"/>
  <c r="X10" i="5"/>
  <c r="W10" i="5"/>
  <c r="Y10" i="5"/>
  <c r="I18" i="5"/>
  <c r="A19" i="5"/>
  <c r="AB15" i="5"/>
  <c r="AB16" i="5" s="1"/>
  <c r="C9" i="5"/>
  <c r="D9" i="5"/>
  <c r="N11" i="5" l="1"/>
  <c r="M11" i="5"/>
  <c r="O11" i="5"/>
  <c r="Z10" i="5"/>
  <c r="AA10" i="5" s="1"/>
  <c r="V11" i="5"/>
  <c r="S19" i="5"/>
  <c r="K20" i="5"/>
  <c r="AH11" i="5"/>
  <c r="AG11" i="5"/>
  <c r="AI11" i="5"/>
  <c r="R19" i="5"/>
  <c r="R20" i="5" s="1"/>
  <c r="E9" i="5"/>
  <c r="AL20" i="5"/>
  <c r="I19" i="5"/>
  <c r="A20" i="5"/>
  <c r="AM19" i="5"/>
  <c r="AE20" i="5"/>
  <c r="AC16" i="5"/>
  <c r="AO16" i="5" s="1"/>
  <c r="U17" i="5"/>
  <c r="AB17" i="5" s="1"/>
  <c r="H19" i="5"/>
  <c r="H20" i="5" s="1"/>
  <c r="AJ11" i="5" l="1"/>
  <c r="AK11" i="5" s="1"/>
  <c r="AF12" i="5"/>
  <c r="X11" i="5"/>
  <c r="W11" i="5"/>
  <c r="Y11" i="5"/>
  <c r="I20" i="5"/>
  <c r="A21" i="5"/>
  <c r="AM20" i="5"/>
  <c r="AE21" i="5"/>
  <c r="B10" i="5"/>
  <c r="P11" i="5"/>
  <c r="Q11" i="5" s="1"/>
  <c r="L12" i="5"/>
  <c r="H21" i="5"/>
  <c r="AC17" i="5"/>
  <c r="AO17" i="5" s="1"/>
  <c r="U18" i="5"/>
  <c r="S20" i="5"/>
  <c r="K21" i="5"/>
  <c r="Z11" i="5" l="1"/>
  <c r="AA11" i="5"/>
  <c r="V12" i="5"/>
  <c r="AM21" i="5"/>
  <c r="AE22" i="5"/>
  <c r="N12" i="5"/>
  <c r="O12" i="5" s="1"/>
  <c r="M12" i="5"/>
  <c r="AH12" i="5"/>
  <c r="AG12" i="5"/>
  <c r="AI12" i="5"/>
  <c r="AC18" i="5"/>
  <c r="AO18" i="5" s="1"/>
  <c r="U19" i="5"/>
  <c r="AL21" i="5"/>
  <c r="S21" i="5"/>
  <c r="K22" i="5"/>
  <c r="R21" i="5"/>
  <c r="R22" i="5" s="1"/>
  <c r="I21" i="5"/>
  <c r="A22" i="5"/>
  <c r="C10" i="5"/>
  <c r="D10" i="5" s="1"/>
  <c r="AB18" i="5"/>
  <c r="P12" i="5" l="1"/>
  <c r="Q12" i="5" s="1"/>
  <c r="L13" i="5"/>
  <c r="E10" i="5"/>
  <c r="AC19" i="5"/>
  <c r="AO19" i="5" s="1"/>
  <c r="U20" i="5"/>
  <c r="S22" i="5"/>
  <c r="K23" i="5"/>
  <c r="X12" i="5"/>
  <c r="W12" i="5"/>
  <c r="Y12" i="5"/>
  <c r="AJ12" i="5"/>
  <c r="AK12" i="5" s="1"/>
  <c r="AF13" i="5"/>
  <c r="AM22" i="5"/>
  <c r="AE23" i="5"/>
  <c r="AL22" i="5"/>
  <c r="AL23" i="5" s="1"/>
  <c r="AB19" i="5"/>
  <c r="AB20" i="5" s="1"/>
  <c r="I22" i="5"/>
  <c r="A23" i="5"/>
  <c r="H22" i="5"/>
  <c r="H23" i="5" s="1"/>
  <c r="S23" i="5" l="1"/>
  <c r="K24" i="5"/>
  <c r="I23" i="5"/>
  <c r="A24" i="5"/>
  <c r="AH13" i="5"/>
  <c r="AI13" i="5" s="1"/>
  <c r="AG13" i="5"/>
  <c r="AL24" i="5"/>
  <c r="Z12" i="5"/>
  <c r="AA12" i="5" s="1"/>
  <c r="V13" i="5"/>
  <c r="AC20" i="5"/>
  <c r="AO20" i="5" s="1"/>
  <c r="U21" i="5"/>
  <c r="N13" i="5"/>
  <c r="M13" i="5"/>
  <c r="O13" i="5"/>
  <c r="AB21" i="5"/>
  <c r="R23" i="5"/>
  <c r="R24" i="5" s="1"/>
  <c r="AM23" i="5"/>
  <c r="AE24" i="5"/>
  <c r="B11" i="5"/>
  <c r="AJ13" i="5" l="1"/>
  <c r="AK13" i="5" s="1"/>
  <c r="AF14" i="5"/>
  <c r="I24" i="5"/>
  <c r="A25" i="5"/>
  <c r="R25" i="5"/>
  <c r="S24" i="5"/>
  <c r="K25" i="5"/>
  <c r="AL25" i="5"/>
  <c r="C11" i="5"/>
  <c r="D11" i="5"/>
  <c r="P13" i="5"/>
  <c r="Q13" i="5" s="1"/>
  <c r="L14" i="5"/>
  <c r="X13" i="5"/>
  <c r="W13" i="5"/>
  <c r="Y13" i="5"/>
  <c r="AM24" i="5"/>
  <c r="AE25" i="5"/>
  <c r="AC21" i="5"/>
  <c r="AO21" i="5" s="1"/>
  <c r="U22" i="5"/>
  <c r="H24" i="5"/>
  <c r="E11" i="5" l="1"/>
  <c r="H25" i="5"/>
  <c r="AC22" i="5"/>
  <c r="AO22" i="5" s="1"/>
  <c r="U23" i="5"/>
  <c r="AB22" i="5"/>
  <c r="I25" i="5"/>
  <c r="A26" i="5"/>
  <c r="N14" i="5"/>
  <c r="M14" i="5"/>
  <c r="O14" i="5"/>
  <c r="S25" i="5"/>
  <c r="K26" i="5"/>
  <c r="AH14" i="5"/>
  <c r="AI14" i="5" s="1"/>
  <c r="AG14" i="5"/>
  <c r="Z13" i="5"/>
  <c r="AA13" i="5" s="1"/>
  <c r="V14" i="5"/>
  <c r="AM25" i="5"/>
  <c r="AE26" i="5"/>
  <c r="AL26" i="5" s="1"/>
  <c r="AJ14" i="5" l="1"/>
  <c r="AK14" i="5"/>
  <c r="AF15" i="5"/>
  <c r="H26" i="5"/>
  <c r="H27" i="5" s="1"/>
  <c r="B12" i="5"/>
  <c r="I26" i="5"/>
  <c r="A27" i="5"/>
  <c r="AM26" i="5"/>
  <c r="AE27" i="5"/>
  <c r="AL27" i="5" s="1"/>
  <c r="X14" i="5"/>
  <c r="Y14" i="5" s="1"/>
  <c r="W14" i="5"/>
  <c r="AB23" i="5"/>
  <c r="P14" i="5"/>
  <c r="Q14" i="5"/>
  <c r="L15" i="5"/>
  <c r="U24" i="5"/>
  <c r="AC23" i="5"/>
  <c r="AO23" i="5" s="1"/>
  <c r="S26" i="5"/>
  <c r="K27" i="5"/>
  <c r="R26" i="5"/>
  <c r="R27" i="5" s="1"/>
  <c r="Z14" i="5" l="1"/>
  <c r="AA14" i="5"/>
  <c r="V15" i="5"/>
  <c r="C12" i="5"/>
  <c r="D12" i="5" s="1"/>
  <c r="H28" i="5"/>
  <c r="N15" i="5"/>
  <c r="M15" i="5"/>
  <c r="O15" i="5"/>
  <c r="AC24" i="5"/>
  <c r="AO24" i="5" s="1"/>
  <c r="U25" i="5"/>
  <c r="I27" i="5"/>
  <c r="A28" i="5"/>
  <c r="AH15" i="5"/>
  <c r="AG15" i="5"/>
  <c r="AI15" i="5"/>
  <c r="R28" i="5"/>
  <c r="S27" i="5"/>
  <c r="K28" i="5"/>
  <c r="AB24" i="5"/>
  <c r="AM27" i="5"/>
  <c r="AE28" i="5"/>
  <c r="AL28" i="5" s="1"/>
  <c r="E12" i="5" l="1"/>
  <c r="H29" i="5"/>
  <c r="AC25" i="5"/>
  <c r="AO25" i="5" s="1"/>
  <c r="U26" i="5"/>
  <c r="P15" i="5"/>
  <c r="Q15" i="5" s="1"/>
  <c r="L16" i="5"/>
  <c r="X15" i="5"/>
  <c r="Y15" i="5" s="1"/>
  <c r="W15" i="5"/>
  <c r="AM28" i="5"/>
  <c r="AE29" i="5"/>
  <c r="AB25" i="5"/>
  <c r="AB26" i="5" s="1"/>
  <c r="AJ15" i="5"/>
  <c r="AK15" i="5" s="1"/>
  <c r="AF16" i="5"/>
  <c r="I28" i="5"/>
  <c r="A29" i="5"/>
  <c r="S28" i="5"/>
  <c r="K29" i="5"/>
  <c r="Z15" i="5" l="1"/>
  <c r="AA15" i="5" s="1"/>
  <c r="V16" i="5"/>
  <c r="B13" i="5"/>
  <c r="S29" i="5"/>
  <c r="K30" i="5"/>
  <c r="R29" i="5"/>
  <c r="R30" i="5" s="1"/>
  <c r="I29" i="5"/>
  <c r="A30" i="5"/>
  <c r="AM29" i="5"/>
  <c r="AE30" i="5"/>
  <c r="N16" i="5"/>
  <c r="M16" i="5"/>
  <c r="O16" i="5"/>
  <c r="AC26" i="5"/>
  <c r="AO26" i="5" s="1"/>
  <c r="U27" i="5"/>
  <c r="AH16" i="5"/>
  <c r="AG16" i="5"/>
  <c r="AI16" i="5"/>
  <c r="AL29" i="5"/>
  <c r="C13" i="5" l="1"/>
  <c r="D13" i="5"/>
  <c r="E13" i="5"/>
  <c r="AM30" i="5"/>
  <c r="AE31" i="5"/>
  <c r="AL30" i="5"/>
  <c r="AL31" i="5" s="1"/>
  <c r="AJ16" i="5"/>
  <c r="AK16" i="5" s="1"/>
  <c r="AF17" i="5"/>
  <c r="X16" i="5"/>
  <c r="W16" i="5"/>
  <c r="Y16" i="5"/>
  <c r="AC27" i="5"/>
  <c r="AO27" i="5" s="1"/>
  <c r="U28" i="5"/>
  <c r="I30" i="5"/>
  <c r="A31" i="5"/>
  <c r="P16" i="5"/>
  <c r="Q16" i="5"/>
  <c r="L17" i="5"/>
  <c r="H30" i="5"/>
  <c r="AB27" i="5"/>
  <c r="AB28" i="5" s="1"/>
  <c r="S30" i="5"/>
  <c r="K31" i="5"/>
  <c r="R31" i="5" s="1"/>
  <c r="N17" i="5" l="1"/>
  <c r="M17" i="5"/>
  <c r="O17" i="5"/>
  <c r="I31" i="5"/>
  <c r="A32" i="5"/>
  <c r="B14" i="5"/>
  <c r="AM31" i="5"/>
  <c r="AE32" i="5"/>
  <c r="AL32" i="5" s="1"/>
  <c r="AH17" i="5"/>
  <c r="AI17" i="5" s="1"/>
  <c r="AG17" i="5"/>
  <c r="Z16" i="5"/>
  <c r="AA16" i="5" s="1"/>
  <c r="V17" i="5"/>
  <c r="S31" i="5"/>
  <c r="K32" i="5"/>
  <c r="AB29" i="5"/>
  <c r="H31" i="5"/>
  <c r="H32" i="5" s="1"/>
  <c r="AC28" i="5"/>
  <c r="AO28" i="5" s="1"/>
  <c r="U29" i="5"/>
  <c r="AJ17" i="5" l="1"/>
  <c r="AK17" i="5" s="1"/>
  <c r="AF18" i="5"/>
  <c r="P17" i="5"/>
  <c r="Q17" i="5" s="1"/>
  <c r="L18" i="5"/>
  <c r="C14" i="5"/>
  <c r="D14" i="5" s="1"/>
  <c r="AM32" i="5"/>
  <c r="AE33" i="5"/>
  <c r="S32" i="5"/>
  <c r="K33" i="5"/>
  <c r="AC29" i="5"/>
  <c r="AO29" i="5" s="1"/>
  <c r="U30" i="5"/>
  <c r="W17" i="5"/>
  <c r="X17" i="5"/>
  <c r="Y17" i="5" s="1"/>
  <c r="I32" i="5"/>
  <c r="A33" i="5"/>
  <c r="H33" i="5" s="1"/>
  <c r="R32" i="5"/>
  <c r="R33" i="5" s="1"/>
  <c r="Z17" i="5" l="1"/>
  <c r="AA17" i="5" s="1"/>
  <c r="V18" i="5"/>
  <c r="E14" i="5"/>
  <c r="N18" i="5"/>
  <c r="M18" i="5"/>
  <c r="O18" i="5"/>
  <c r="AH18" i="5"/>
  <c r="AG18" i="5"/>
  <c r="AI18" i="5"/>
  <c r="I33" i="5"/>
  <c r="A34" i="5"/>
  <c r="H34" i="5" s="1"/>
  <c r="S33" i="5"/>
  <c r="K34" i="5"/>
  <c r="AC30" i="5"/>
  <c r="AO30" i="5" s="1"/>
  <c r="U31" i="5"/>
  <c r="AB30" i="5"/>
  <c r="AB31" i="5" s="1"/>
  <c r="AM33" i="5"/>
  <c r="AE34" i="5"/>
  <c r="R34" i="5"/>
  <c r="AL33" i="5"/>
  <c r="AL34" i="5" s="1"/>
  <c r="P18" i="5" l="1"/>
  <c r="Q18" i="5"/>
  <c r="L19" i="5"/>
  <c r="R35" i="5"/>
  <c r="I34" i="5"/>
  <c r="A35" i="5"/>
  <c r="W18" i="5"/>
  <c r="X18" i="5"/>
  <c r="Y18" i="5"/>
  <c r="AJ18" i="5"/>
  <c r="AK18" i="5"/>
  <c r="AF19" i="5"/>
  <c r="S34" i="5"/>
  <c r="K35" i="5"/>
  <c r="AM34" i="5"/>
  <c r="AE35" i="5"/>
  <c r="AL35" i="5" s="1"/>
  <c r="AB32" i="5"/>
  <c r="AC31" i="5"/>
  <c r="AO31" i="5" s="1"/>
  <c r="U32" i="5"/>
  <c r="B15" i="5"/>
  <c r="N19" i="5" l="1"/>
  <c r="M19" i="5"/>
  <c r="O19" i="5"/>
  <c r="AH19" i="5"/>
  <c r="AI19" i="5" s="1"/>
  <c r="AG19" i="5"/>
  <c r="S35" i="5"/>
  <c r="K36" i="5"/>
  <c r="R36" i="5" s="1"/>
  <c r="AM35" i="5"/>
  <c r="AE36" i="5"/>
  <c r="C15" i="5"/>
  <c r="D15" i="5"/>
  <c r="E15" i="5"/>
  <c r="Z18" i="5"/>
  <c r="AA18" i="5"/>
  <c r="V19" i="5"/>
  <c r="AC32" i="5"/>
  <c r="AO32" i="5" s="1"/>
  <c r="U33" i="5"/>
  <c r="AB33" i="5" s="1"/>
  <c r="I35" i="5"/>
  <c r="A36" i="5"/>
  <c r="H35" i="5"/>
  <c r="H36" i="5" s="1"/>
  <c r="AJ19" i="5" l="1"/>
  <c r="AK19" i="5"/>
  <c r="AF20" i="5"/>
  <c r="W19" i="5"/>
  <c r="X19" i="5"/>
  <c r="Y19" i="5" s="1"/>
  <c r="B16" i="5"/>
  <c r="S36" i="5"/>
  <c r="K37" i="5"/>
  <c r="AM36" i="5"/>
  <c r="AE37" i="5"/>
  <c r="Q19" i="5"/>
  <c r="P19" i="5"/>
  <c r="L20" i="5"/>
  <c r="I36" i="5"/>
  <c r="A37" i="5"/>
  <c r="H37" i="5" s="1"/>
  <c r="AC33" i="5"/>
  <c r="AO33" i="5" s="1"/>
  <c r="U34" i="5"/>
  <c r="AL36" i="5"/>
  <c r="Z19" i="5" l="1"/>
  <c r="AA19" i="5" s="1"/>
  <c r="V20" i="5"/>
  <c r="S37" i="5"/>
  <c r="K38" i="5"/>
  <c r="U35" i="5"/>
  <c r="AC34" i="5"/>
  <c r="AO34" i="5" s="1"/>
  <c r="AM37" i="5"/>
  <c r="AE38" i="5"/>
  <c r="AB34" i="5"/>
  <c r="AB35" i="5" s="1"/>
  <c r="R37" i="5"/>
  <c r="R38" i="5" s="1"/>
  <c r="AH20" i="5"/>
  <c r="AG20" i="5"/>
  <c r="AI20" i="5"/>
  <c r="I37" i="5"/>
  <c r="A38" i="5"/>
  <c r="H38" i="5" s="1"/>
  <c r="D16" i="5"/>
  <c r="C16" i="5"/>
  <c r="N20" i="5"/>
  <c r="M20" i="5"/>
  <c r="O20" i="5"/>
  <c r="AL37" i="5"/>
  <c r="AL38" i="5" s="1"/>
  <c r="R39" i="5" l="1"/>
  <c r="S38" i="5"/>
  <c r="K39" i="5"/>
  <c r="P20" i="5"/>
  <c r="Q20" i="5" s="1"/>
  <c r="L21" i="5"/>
  <c r="AJ20" i="5"/>
  <c r="AK20" i="5" s="1"/>
  <c r="AF21" i="5"/>
  <c r="X20" i="5"/>
  <c r="W20" i="5"/>
  <c r="Y20" i="5"/>
  <c r="AL39" i="5"/>
  <c r="I38" i="5"/>
  <c r="A39" i="5"/>
  <c r="AM38" i="5"/>
  <c r="AE39" i="5"/>
  <c r="E16" i="5"/>
  <c r="AC35" i="5"/>
  <c r="AO35" i="5" s="1"/>
  <c r="U36" i="5"/>
  <c r="AB36" i="5" s="1"/>
  <c r="I39" i="5" l="1"/>
  <c r="A40" i="5"/>
  <c r="AH21" i="5"/>
  <c r="AG21" i="5"/>
  <c r="AI21" i="5"/>
  <c r="R40" i="5"/>
  <c r="B17" i="5"/>
  <c r="Z20" i="5"/>
  <c r="AA20" i="5" s="1"/>
  <c r="V21" i="5"/>
  <c r="AC36" i="5"/>
  <c r="AO36" i="5" s="1"/>
  <c r="U37" i="5"/>
  <c r="M21" i="5"/>
  <c r="N21" i="5"/>
  <c r="O21" i="5"/>
  <c r="AM39" i="5"/>
  <c r="AE40" i="5"/>
  <c r="S39" i="5"/>
  <c r="K40" i="5"/>
  <c r="H39" i="5"/>
  <c r="H40" i="5" s="1"/>
  <c r="P21" i="5" l="1"/>
  <c r="Q21" i="5" s="1"/>
  <c r="L22" i="5"/>
  <c r="H41" i="5"/>
  <c r="S40" i="5"/>
  <c r="K41" i="5"/>
  <c r="I40" i="5"/>
  <c r="A41" i="5"/>
  <c r="AJ21" i="5"/>
  <c r="AK21" i="5" s="1"/>
  <c r="AF22" i="5"/>
  <c r="D17" i="5"/>
  <c r="C17" i="5"/>
  <c r="W21" i="5"/>
  <c r="X21" i="5"/>
  <c r="Y21" i="5"/>
  <c r="AM40" i="5"/>
  <c r="AE41" i="5"/>
  <c r="AL40" i="5"/>
  <c r="AC37" i="5"/>
  <c r="AO37" i="5" s="1"/>
  <c r="U38" i="5"/>
  <c r="AB37" i="5"/>
  <c r="AB38" i="5" s="1"/>
  <c r="N22" i="5" l="1"/>
  <c r="M22" i="5"/>
  <c r="O22" i="5"/>
  <c r="AC38" i="5"/>
  <c r="AO38" i="5" s="1"/>
  <c r="U39" i="5"/>
  <c r="I41" i="5"/>
  <c r="A42" i="5"/>
  <c r="AH22" i="5"/>
  <c r="AI22" i="5" s="1"/>
  <c r="AG22" i="5"/>
  <c r="Z21" i="5"/>
  <c r="AA21" i="5" s="1"/>
  <c r="V22" i="5"/>
  <c r="E17" i="5"/>
  <c r="AM41" i="5"/>
  <c r="AE42" i="5"/>
  <c r="AL41" i="5"/>
  <c r="AL42" i="5" s="1"/>
  <c r="S41" i="5"/>
  <c r="K42" i="5"/>
  <c r="R41" i="5"/>
  <c r="R42" i="5" s="1"/>
  <c r="AJ22" i="5" l="1"/>
  <c r="AK22" i="5"/>
  <c r="AF23" i="5"/>
  <c r="P22" i="5"/>
  <c r="Q22" i="5"/>
  <c r="L23" i="5"/>
  <c r="B18" i="5"/>
  <c r="X22" i="5"/>
  <c r="W22" i="5"/>
  <c r="Y22" i="5"/>
  <c r="I42" i="5"/>
  <c r="A43" i="5"/>
  <c r="AC39" i="5"/>
  <c r="AO39" i="5" s="1"/>
  <c r="U40" i="5"/>
  <c r="S42" i="5"/>
  <c r="K43" i="5"/>
  <c r="AM42" i="5"/>
  <c r="AE43" i="5"/>
  <c r="AB39" i="5"/>
  <c r="AB40" i="5" s="1"/>
  <c r="H42" i="5"/>
  <c r="N23" i="5" l="1"/>
  <c r="M23" i="5"/>
  <c r="O23" i="5"/>
  <c r="A44" i="5"/>
  <c r="K44" i="5"/>
  <c r="Z22" i="5"/>
  <c r="AA22" i="5"/>
  <c r="V23" i="5"/>
  <c r="AC40" i="5"/>
  <c r="AO40" i="5" s="1"/>
  <c r="U41" i="5"/>
  <c r="AH23" i="5"/>
  <c r="AI23" i="5" s="1"/>
  <c r="AG23" i="5"/>
  <c r="C18" i="5"/>
  <c r="F53" i="1" s="1"/>
  <c r="AE44" i="5"/>
  <c r="AJ23" i="5" l="1"/>
  <c r="AK23" i="5" s="1"/>
  <c r="AF24" i="5"/>
  <c r="K45" i="5"/>
  <c r="AE45" i="5"/>
  <c r="AC41" i="5"/>
  <c r="AO41" i="5" s="1"/>
  <c r="U42" i="5"/>
  <c r="F42" i="6"/>
  <c r="G46" i="2"/>
  <c r="G54" i="2" s="1"/>
  <c r="G53" i="1"/>
  <c r="F58" i="1"/>
  <c r="W23" i="5"/>
  <c r="X23" i="5"/>
  <c r="Y23" i="5" s="1"/>
  <c r="P23" i="5"/>
  <c r="Q23" i="5" s="1"/>
  <c r="L24" i="5"/>
  <c r="A45" i="5"/>
  <c r="D18" i="5"/>
  <c r="AB41" i="5"/>
  <c r="AB42" i="5" s="1"/>
  <c r="Z23" i="5" l="1"/>
  <c r="AA23" i="5"/>
  <c r="V24" i="5"/>
  <c r="A46" i="5"/>
  <c r="G58" i="1"/>
  <c r="F60" i="1"/>
  <c r="G60" i="1" s="1"/>
  <c r="N24" i="5"/>
  <c r="O24" i="5" s="1"/>
  <c r="M24" i="5"/>
  <c r="F6" i="5"/>
  <c r="G56" i="2"/>
  <c r="F41" i="6" s="1"/>
  <c r="F44" i="6" s="1"/>
  <c r="E18" i="5"/>
  <c r="K46" i="5"/>
  <c r="AH24" i="5"/>
  <c r="AG24" i="5"/>
  <c r="AI24" i="5"/>
  <c r="G61" i="2"/>
  <c r="G62" i="2" s="1"/>
  <c r="G64" i="2" s="1"/>
  <c r="H9" i="3" s="1"/>
  <c r="H14" i="3" s="1"/>
  <c r="H19" i="3" s="1"/>
  <c r="AC42" i="5"/>
  <c r="AO42" i="5" s="1"/>
  <c r="U43" i="5"/>
  <c r="AE46" i="5"/>
  <c r="P24" i="5" l="1"/>
  <c r="Q24" i="5" s="1"/>
  <c r="L25" i="5"/>
  <c r="A47" i="5"/>
  <c r="AJ24" i="5"/>
  <c r="AK24" i="5" s="1"/>
  <c r="AF25" i="5"/>
  <c r="K47" i="5"/>
  <c r="G27" i="3"/>
  <c r="G28" i="3" s="1"/>
  <c r="G6" i="5"/>
  <c r="G30" i="3" s="1"/>
  <c r="X24" i="5"/>
  <c r="Y24" i="5" s="1"/>
  <c r="W24" i="5"/>
  <c r="AE47" i="5"/>
  <c r="U44" i="5"/>
  <c r="E52" i="6"/>
  <c r="H52" i="6" s="1"/>
  <c r="E49" i="6"/>
  <c r="B19" i="5"/>
  <c r="Z24" i="5" l="1"/>
  <c r="AA24" i="5" s="1"/>
  <c r="V25" i="5"/>
  <c r="G33" i="3"/>
  <c r="A48" i="5"/>
  <c r="U45" i="5"/>
  <c r="AE48" i="5"/>
  <c r="N25" i="5"/>
  <c r="M25" i="5"/>
  <c r="O25" i="5"/>
  <c r="C19" i="5"/>
  <c r="D19" i="5" s="1"/>
  <c r="AH25" i="5"/>
  <c r="AG25" i="5"/>
  <c r="AI25" i="5"/>
  <c r="H49" i="6"/>
  <c r="L49" i="6"/>
  <c r="L53" i="6"/>
  <c r="L52" i="6"/>
  <c r="L50" i="6"/>
  <c r="L51" i="6"/>
  <c r="L54" i="6"/>
  <c r="K48" i="5"/>
  <c r="F7" i="5" l="1"/>
  <c r="G7" i="5" s="1"/>
  <c r="E19" i="5"/>
  <c r="U46" i="5"/>
  <c r="A49" i="5"/>
  <c r="G35" i="3"/>
  <c r="G39" i="3" s="1"/>
  <c r="G41" i="3" s="1"/>
  <c r="G43" i="3" s="1"/>
  <c r="AJ25" i="5"/>
  <c r="AK25" i="5" s="1"/>
  <c r="AF26" i="5"/>
  <c r="W25" i="5"/>
  <c r="X25" i="5"/>
  <c r="Y25" i="5"/>
  <c r="P25" i="5"/>
  <c r="Q25" i="5" s="1"/>
  <c r="L26" i="5"/>
  <c r="AE49" i="5"/>
  <c r="K49" i="5"/>
  <c r="U47" i="5" l="1"/>
  <c r="B20" i="5"/>
  <c r="AE50" i="5"/>
  <c r="N26" i="5"/>
  <c r="O26" i="5" s="1"/>
  <c r="M26" i="5"/>
  <c r="AH26" i="5"/>
  <c r="AG26" i="5"/>
  <c r="AI26" i="5"/>
  <c r="Z25" i="5"/>
  <c r="AA25" i="5" s="1"/>
  <c r="V26" i="5"/>
  <c r="A50" i="5"/>
  <c r="K50" i="5"/>
  <c r="P26" i="5" l="1"/>
  <c r="Q26" i="5"/>
  <c r="L27" i="5"/>
  <c r="AE51" i="5"/>
  <c r="AJ26" i="5"/>
  <c r="AK26" i="5" s="1"/>
  <c r="AF27" i="5"/>
  <c r="C20" i="5"/>
  <c r="D20" i="5" s="1"/>
  <c r="K51" i="5"/>
  <c r="A51" i="5"/>
  <c r="U48" i="5"/>
  <c r="X26" i="5"/>
  <c r="W26" i="5"/>
  <c r="Y26" i="5"/>
  <c r="F8" i="5" l="1"/>
  <c r="G8" i="5" s="1"/>
  <c r="E20" i="5"/>
  <c r="AH27" i="5"/>
  <c r="AI27" i="5" s="1"/>
  <c r="AG27" i="5"/>
  <c r="AE52" i="5"/>
  <c r="N27" i="5"/>
  <c r="M27" i="5"/>
  <c r="O27" i="5"/>
  <c r="A52" i="5"/>
  <c r="K52" i="5"/>
  <c r="Z26" i="5"/>
  <c r="AA26" i="5"/>
  <c r="V27" i="5"/>
  <c r="U49" i="5"/>
  <c r="AJ27" i="5" l="1"/>
  <c r="AK27" i="5" s="1"/>
  <c r="AF28" i="5"/>
  <c r="A53" i="5"/>
  <c r="U50" i="5"/>
  <c r="W27" i="5"/>
  <c r="X27" i="5"/>
  <c r="Y27" i="5"/>
  <c r="AE53" i="5"/>
  <c r="B21" i="5"/>
  <c r="K53" i="5"/>
  <c r="P27" i="5"/>
  <c r="Q27" i="5" s="1"/>
  <c r="L28" i="5"/>
  <c r="C21" i="5" l="1"/>
  <c r="D21" i="5" s="1"/>
  <c r="AH28" i="5"/>
  <c r="AG28" i="5"/>
  <c r="AI28" i="5"/>
  <c r="U51" i="5"/>
  <c r="A54" i="5"/>
  <c r="AE54" i="5"/>
  <c r="Z27" i="5"/>
  <c r="AA27" i="5" s="1"/>
  <c r="V28" i="5"/>
  <c r="N28" i="5"/>
  <c r="O28" i="5" s="1"/>
  <c r="M28" i="5"/>
  <c r="K54" i="5"/>
  <c r="P28" i="5" l="1"/>
  <c r="Q28" i="5" s="1"/>
  <c r="L29" i="5"/>
  <c r="F9" i="5"/>
  <c r="G9" i="5" s="1"/>
  <c r="E21" i="5"/>
  <c r="U52" i="5"/>
  <c r="W28" i="5"/>
  <c r="X28" i="5"/>
  <c r="Y28" i="5"/>
  <c r="AK28" i="5"/>
  <c r="AJ28" i="5"/>
  <c r="AF29" i="5"/>
  <c r="U53" i="5" l="1"/>
  <c r="N29" i="5"/>
  <c r="M29" i="5"/>
  <c r="O29" i="5"/>
  <c r="Z28" i="5"/>
  <c r="AA28" i="5" s="1"/>
  <c r="V29" i="5"/>
  <c r="AH29" i="5"/>
  <c r="AG29" i="5"/>
  <c r="AI29" i="5"/>
  <c r="B22" i="5"/>
  <c r="W29" i="5" l="1"/>
  <c r="X29" i="5"/>
  <c r="Y29" i="5"/>
  <c r="U54" i="5"/>
  <c r="C22" i="5"/>
  <c r="D22" i="5"/>
  <c r="E22" i="5" s="1"/>
  <c r="P29" i="5"/>
  <c r="Q29" i="5" s="1"/>
  <c r="L30" i="5"/>
  <c r="AJ29" i="5"/>
  <c r="AK29" i="5" s="1"/>
  <c r="AF30" i="5"/>
  <c r="B23" i="5" l="1"/>
  <c r="AH30" i="5"/>
  <c r="AG30" i="5"/>
  <c r="AI30" i="5"/>
  <c r="Z29" i="5"/>
  <c r="AA29" i="5" s="1"/>
  <c r="V30" i="5"/>
  <c r="N30" i="5"/>
  <c r="M30" i="5"/>
  <c r="O30" i="5"/>
  <c r="F10" i="5"/>
  <c r="G10" i="5" s="1"/>
  <c r="P30" i="5" l="1"/>
  <c r="Q30" i="5" s="1"/>
  <c r="L31" i="5"/>
  <c r="AJ30" i="5"/>
  <c r="AK30" i="5" s="1"/>
  <c r="AF31" i="5"/>
  <c r="C23" i="5"/>
  <c r="D23" i="5" s="1"/>
  <c r="W30" i="5"/>
  <c r="X30" i="5"/>
  <c r="Y30" i="5" s="1"/>
  <c r="F11" i="5" l="1"/>
  <c r="G11" i="5" s="1"/>
  <c r="E23" i="5"/>
  <c r="Z30" i="5"/>
  <c r="AA30" i="5" s="1"/>
  <c r="V31" i="5"/>
  <c r="AH31" i="5"/>
  <c r="AG31" i="5"/>
  <c r="AI31" i="5"/>
  <c r="N31" i="5"/>
  <c r="M31" i="5"/>
  <c r="O31" i="5"/>
  <c r="P31" i="5" l="1"/>
  <c r="Q31" i="5"/>
  <c r="L32" i="5"/>
  <c r="B24" i="5"/>
  <c r="AJ31" i="5"/>
  <c r="AK31" i="5" s="1"/>
  <c r="AF32" i="5"/>
  <c r="W31" i="5"/>
  <c r="X31" i="5"/>
  <c r="Y31" i="5"/>
  <c r="N32" i="5" l="1"/>
  <c r="O32" i="5"/>
  <c r="M32" i="5"/>
  <c r="C24" i="5"/>
  <c r="D24" i="5"/>
  <c r="Z31" i="5"/>
  <c r="AA31" i="5" s="1"/>
  <c r="V32" i="5"/>
  <c r="AH32" i="5"/>
  <c r="AG32" i="5"/>
  <c r="AI32" i="5"/>
  <c r="F12" i="5" l="1"/>
  <c r="G12" i="5" s="1"/>
  <c r="P32" i="5"/>
  <c r="Q32" i="5" s="1"/>
  <c r="L33" i="5"/>
  <c r="E24" i="5"/>
  <c r="AJ32" i="5"/>
  <c r="AK32" i="5" s="1"/>
  <c r="AF33" i="5"/>
  <c r="W32" i="5"/>
  <c r="X32" i="5"/>
  <c r="Y32" i="5"/>
  <c r="Z32" i="5" l="1"/>
  <c r="AA32" i="5" s="1"/>
  <c r="V33" i="5"/>
  <c r="AH33" i="5"/>
  <c r="AG33" i="5"/>
  <c r="AI33" i="5"/>
  <c r="N33" i="5"/>
  <c r="O33" i="5" s="1"/>
  <c r="M33" i="5"/>
  <c r="B25" i="5"/>
  <c r="P33" i="5" l="1"/>
  <c r="Q33" i="5" s="1"/>
  <c r="L34" i="5"/>
  <c r="AJ33" i="5"/>
  <c r="AK33" i="5" s="1"/>
  <c r="AF34" i="5"/>
  <c r="C25" i="5"/>
  <c r="D25" i="5"/>
  <c r="W33" i="5"/>
  <c r="X33" i="5"/>
  <c r="Y33" i="5"/>
  <c r="F13" i="5" l="1"/>
  <c r="G13" i="5" s="1"/>
  <c r="N34" i="5"/>
  <c r="M34" i="5"/>
  <c r="O34" i="5"/>
  <c r="AH34" i="5"/>
  <c r="AG34" i="5"/>
  <c r="AI34" i="5"/>
  <c r="Z33" i="5"/>
  <c r="AA33" i="5" s="1"/>
  <c r="V34" i="5"/>
  <c r="E25" i="5"/>
  <c r="P34" i="5" l="1"/>
  <c r="Q34" i="5" s="1"/>
  <c r="L35" i="5"/>
  <c r="B26" i="5"/>
  <c r="AJ34" i="5"/>
  <c r="AK34" i="5" s="1"/>
  <c r="AF35" i="5"/>
  <c r="W34" i="5"/>
  <c r="X34" i="5"/>
  <c r="Y34" i="5" s="1"/>
  <c r="Z34" i="5" l="1"/>
  <c r="AA34" i="5" s="1"/>
  <c r="V35" i="5"/>
  <c r="C26" i="5"/>
  <c r="D26" i="5"/>
  <c r="N35" i="5"/>
  <c r="O35" i="5" s="1"/>
  <c r="M35" i="5"/>
  <c r="AH35" i="5"/>
  <c r="AG35" i="5"/>
  <c r="AI35" i="5"/>
  <c r="P35" i="5" l="1"/>
  <c r="Q35" i="5"/>
  <c r="L36" i="5"/>
  <c r="AJ35" i="5"/>
  <c r="AK35" i="5"/>
  <c r="AF36" i="5"/>
  <c r="F14" i="5"/>
  <c r="G14" i="5" s="1"/>
  <c r="W35" i="5"/>
  <c r="X35" i="5"/>
  <c r="Y35" i="5"/>
  <c r="E26" i="5"/>
  <c r="Z35" i="5" l="1"/>
  <c r="AA35" i="5"/>
  <c r="V36" i="5"/>
  <c r="B27" i="5"/>
  <c r="AH36" i="5"/>
  <c r="AI36" i="5" s="1"/>
  <c r="AG36" i="5"/>
  <c r="N36" i="5"/>
  <c r="O36" i="5"/>
  <c r="M36" i="5"/>
  <c r="AJ36" i="5" l="1"/>
  <c r="AK36" i="5" s="1"/>
  <c r="AF37" i="5"/>
  <c r="C27" i="5"/>
  <c r="D27" i="5"/>
  <c r="E27" i="5" s="1"/>
  <c r="P36" i="5"/>
  <c r="Q36" i="5" s="1"/>
  <c r="L37" i="5"/>
  <c r="W36" i="5"/>
  <c r="X36" i="5"/>
  <c r="Y36" i="5"/>
  <c r="B28" i="5" l="1"/>
  <c r="F15" i="5"/>
  <c r="G15" i="5" s="1"/>
  <c r="AH37" i="5"/>
  <c r="AG37" i="5"/>
  <c r="AI37" i="5"/>
  <c r="Z36" i="5"/>
  <c r="AA36" i="5" s="1"/>
  <c r="V37" i="5"/>
  <c r="N37" i="5"/>
  <c r="O37" i="5" s="1"/>
  <c r="M37" i="5"/>
  <c r="P37" i="5" l="1"/>
  <c r="Q37" i="5" s="1"/>
  <c r="L38" i="5"/>
  <c r="C28" i="5"/>
  <c r="D28" i="5"/>
  <c r="AJ37" i="5"/>
  <c r="AK37" i="5" s="1"/>
  <c r="AF38" i="5"/>
  <c r="W37" i="5"/>
  <c r="X37" i="5"/>
  <c r="Y37" i="5"/>
  <c r="F16" i="5" l="1"/>
  <c r="G16" i="5" s="1"/>
  <c r="Z37" i="5"/>
  <c r="AA37" i="5" s="1"/>
  <c r="V38" i="5"/>
  <c r="E28" i="5"/>
  <c r="N38" i="5"/>
  <c r="M38" i="5"/>
  <c r="O38" i="5"/>
  <c r="AH38" i="5"/>
  <c r="AG38" i="5"/>
  <c r="AI38" i="5"/>
  <c r="W38" i="5" l="1"/>
  <c r="X38" i="5"/>
  <c r="Y38" i="5"/>
  <c r="P38" i="5"/>
  <c r="Q38" i="5" s="1"/>
  <c r="L39" i="5"/>
  <c r="AJ38" i="5"/>
  <c r="AK38" i="5" s="1"/>
  <c r="AF39" i="5"/>
  <c r="B29" i="5"/>
  <c r="N39" i="5" l="1"/>
  <c r="M39" i="5"/>
  <c r="O39" i="5"/>
  <c r="Z38" i="5"/>
  <c r="AA38" i="5" s="1"/>
  <c r="V39" i="5"/>
  <c r="C29" i="5"/>
  <c r="D29" i="5" s="1"/>
  <c r="AH39" i="5"/>
  <c r="AG39" i="5"/>
  <c r="AI39" i="5"/>
  <c r="F17" i="5" l="1"/>
  <c r="G17" i="5" s="1"/>
  <c r="E29" i="5"/>
  <c r="W39" i="5"/>
  <c r="X39" i="5"/>
  <c r="Y39" i="5" s="1"/>
  <c r="P39" i="5"/>
  <c r="Q39" i="5"/>
  <c r="L40" i="5"/>
  <c r="AJ39" i="5"/>
  <c r="AK39" i="5"/>
  <c r="AF40" i="5"/>
  <c r="Z39" i="5" l="1"/>
  <c r="AA39" i="5"/>
  <c r="V40" i="5"/>
  <c r="AH40" i="5"/>
  <c r="AG40" i="5"/>
  <c r="AI40" i="5"/>
  <c r="B30" i="5"/>
  <c r="N40" i="5"/>
  <c r="M40" i="5"/>
  <c r="O40" i="5"/>
  <c r="P40" i="5" l="1"/>
  <c r="Q40" i="5" s="1"/>
  <c r="L41" i="5"/>
  <c r="AJ40" i="5"/>
  <c r="AK40" i="5" s="1"/>
  <c r="AF41" i="5"/>
  <c r="W40" i="5"/>
  <c r="X40" i="5"/>
  <c r="Y40" i="5" s="1"/>
  <c r="C30" i="5"/>
  <c r="D30" i="5"/>
  <c r="Z40" i="5" l="1"/>
  <c r="AA40" i="5" s="1"/>
  <c r="V41" i="5"/>
  <c r="F18" i="5"/>
  <c r="AH41" i="5"/>
  <c r="AG41" i="5"/>
  <c r="AI41" i="5"/>
  <c r="E30" i="5"/>
  <c r="N41" i="5"/>
  <c r="M41" i="5"/>
  <c r="O41" i="5"/>
  <c r="P41" i="5" l="1"/>
  <c r="Q41" i="5" s="1"/>
  <c r="L42" i="5"/>
  <c r="H27" i="3"/>
  <c r="H28" i="3" s="1"/>
  <c r="G18" i="5"/>
  <c r="H30" i="3" s="1"/>
  <c r="AJ41" i="5"/>
  <c r="AK41" i="5" s="1"/>
  <c r="AF42" i="5"/>
  <c r="B31" i="5"/>
  <c r="W41" i="5"/>
  <c r="X41" i="5"/>
  <c r="Y41" i="5"/>
  <c r="AH42" i="5" l="1"/>
  <c r="AG42" i="5"/>
  <c r="AI42" i="5"/>
  <c r="Z41" i="5"/>
  <c r="AA41" i="5" s="1"/>
  <c r="V42" i="5"/>
  <c r="N42" i="5"/>
  <c r="O42" i="5" s="1"/>
  <c r="M42" i="5"/>
  <c r="H33" i="3"/>
  <c r="C31" i="5"/>
  <c r="D31" i="5"/>
  <c r="E31" i="5" s="1"/>
  <c r="P42" i="5" l="1"/>
  <c r="Q42" i="5" s="1"/>
  <c r="L43" i="5"/>
  <c r="B32" i="5"/>
  <c r="AJ42" i="5"/>
  <c r="AK42" i="5" s="1"/>
  <c r="AF43" i="5"/>
  <c r="F19" i="5"/>
  <c r="G19" i="5" s="1"/>
  <c r="W42" i="5"/>
  <c r="X42" i="5"/>
  <c r="Y42" i="5" s="1"/>
  <c r="H35" i="3"/>
  <c r="H39" i="3" s="1"/>
  <c r="H41" i="3" s="1"/>
  <c r="H43" i="3" s="1"/>
  <c r="Z42" i="5" l="1"/>
  <c r="AA42" i="5" s="1"/>
  <c r="V43" i="5"/>
  <c r="N43" i="5"/>
  <c r="M43" i="5"/>
  <c r="O43" i="5"/>
  <c r="L44" i="5" s="1"/>
  <c r="C32" i="5"/>
  <c r="D32" i="5"/>
  <c r="AH43" i="5"/>
  <c r="AG43" i="5"/>
  <c r="AI43" i="5"/>
  <c r="AF44" i="5" s="1"/>
  <c r="AH44" i="5" l="1"/>
  <c r="AG44" i="5"/>
  <c r="AI44" i="5"/>
  <c r="AF45" i="5" s="1"/>
  <c r="W43" i="5"/>
  <c r="X43" i="5"/>
  <c r="Y43" i="5" s="1"/>
  <c r="V44" i="5" s="1"/>
  <c r="F20" i="5"/>
  <c r="G20" i="5" s="1"/>
  <c r="N44" i="5"/>
  <c r="M44" i="5"/>
  <c r="O44" i="5"/>
  <c r="L45" i="5" s="1"/>
  <c r="E32" i="5"/>
  <c r="W44" i="5" l="1"/>
  <c r="X44" i="5"/>
  <c r="Y44" i="5"/>
  <c r="V45" i="5" s="1"/>
  <c r="N45" i="5"/>
  <c r="M45" i="5"/>
  <c r="O45" i="5"/>
  <c r="L46" i="5" s="1"/>
  <c r="AH45" i="5"/>
  <c r="AI45" i="5" s="1"/>
  <c r="AF46" i="5" s="1"/>
  <c r="AG45" i="5"/>
  <c r="B33" i="5"/>
  <c r="AH46" i="5" l="1"/>
  <c r="AG46" i="5"/>
  <c r="AI46" i="5"/>
  <c r="AF47" i="5" s="1"/>
  <c r="C33" i="5"/>
  <c r="D33" i="5"/>
  <c r="N46" i="5"/>
  <c r="O46" i="5" s="1"/>
  <c r="L47" i="5" s="1"/>
  <c r="M46" i="5"/>
  <c r="W45" i="5"/>
  <c r="X45" i="5"/>
  <c r="Y45" i="5"/>
  <c r="V46" i="5" s="1"/>
  <c r="N47" i="5" l="1"/>
  <c r="M47" i="5"/>
  <c r="O47" i="5"/>
  <c r="L48" i="5" s="1"/>
  <c r="F21" i="5"/>
  <c r="G21" i="5" s="1"/>
  <c r="AH47" i="5"/>
  <c r="AG47" i="5"/>
  <c r="AI47" i="5"/>
  <c r="AF48" i="5" s="1"/>
  <c r="E33" i="5"/>
  <c r="W46" i="5"/>
  <c r="X46" i="5"/>
  <c r="Y46" i="5" s="1"/>
  <c r="V47" i="5" s="1"/>
  <c r="W47" i="5" l="1"/>
  <c r="X47" i="5"/>
  <c r="Y47" i="5"/>
  <c r="V48" i="5" s="1"/>
  <c r="N48" i="5"/>
  <c r="M48" i="5"/>
  <c r="O48" i="5"/>
  <c r="L49" i="5" s="1"/>
  <c r="AH48" i="5"/>
  <c r="AI48" i="5" s="1"/>
  <c r="AF49" i="5" s="1"/>
  <c r="AG48" i="5"/>
  <c r="B34" i="5"/>
  <c r="AH49" i="5" l="1"/>
  <c r="AG49" i="5"/>
  <c r="AI49" i="5"/>
  <c r="AF50" i="5" s="1"/>
  <c r="C34" i="5"/>
  <c r="D34" i="5"/>
  <c r="N49" i="5"/>
  <c r="O49" i="5" s="1"/>
  <c r="L50" i="5" s="1"/>
  <c r="M49" i="5"/>
  <c r="W48" i="5"/>
  <c r="X48" i="5"/>
  <c r="Y48" i="5"/>
  <c r="V49" i="5" s="1"/>
  <c r="N50" i="5" l="1"/>
  <c r="M50" i="5"/>
  <c r="O50" i="5"/>
  <c r="L51" i="5" s="1"/>
  <c r="F22" i="5"/>
  <c r="G22" i="5" s="1"/>
  <c r="AH50" i="5"/>
  <c r="AG50" i="5"/>
  <c r="AI50" i="5"/>
  <c r="AF51" i="5" s="1"/>
  <c r="E34" i="5"/>
  <c r="W49" i="5"/>
  <c r="X49" i="5"/>
  <c r="Y49" i="5"/>
  <c r="V50" i="5" s="1"/>
  <c r="W50" i="5" l="1"/>
  <c r="X50" i="5"/>
  <c r="Y50" i="5" s="1"/>
  <c r="V51" i="5" s="1"/>
  <c r="B35" i="5"/>
  <c r="N51" i="5"/>
  <c r="O51" i="5" s="1"/>
  <c r="L52" i="5" s="1"/>
  <c r="M51" i="5"/>
  <c r="AH51" i="5"/>
  <c r="AI51" i="5" s="1"/>
  <c r="AF52" i="5" s="1"/>
  <c r="AG51" i="5"/>
  <c r="N52" i="5" l="1"/>
  <c r="M52" i="5"/>
  <c r="O52" i="5"/>
  <c r="L53" i="5" s="1"/>
  <c r="AH52" i="5"/>
  <c r="AG52" i="5"/>
  <c r="AI52" i="5"/>
  <c r="AF53" i="5" s="1"/>
  <c r="W51" i="5"/>
  <c r="X51" i="5"/>
  <c r="Y51" i="5" s="1"/>
  <c r="V52" i="5" s="1"/>
  <c r="C35" i="5"/>
  <c r="D35" i="5"/>
  <c r="W52" i="5" l="1"/>
  <c r="X52" i="5"/>
  <c r="Y52" i="5"/>
  <c r="V53" i="5" s="1"/>
  <c r="AH53" i="5"/>
  <c r="AG53" i="5"/>
  <c r="AI53" i="5"/>
  <c r="AF54" i="5" s="1"/>
  <c r="N53" i="5"/>
  <c r="O53" i="5" s="1"/>
  <c r="L54" i="5" s="1"/>
  <c r="M53" i="5"/>
  <c r="F23" i="5"/>
  <c r="G23" i="5" s="1"/>
  <c r="E35" i="5"/>
  <c r="N54" i="5" l="1"/>
  <c r="M54" i="5"/>
  <c r="O54" i="5"/>
  <c r="AH54" i="5"/>
  <c r="AG54" i="5"/>
  <c r="AI54" i="5"/>
  <c r="B36" i="5"/>
  <c r="W53" i="5"/>
  <c r="X53" i="5"/>
  <c r="Y53" i="5"/>
  <c r="V54" i="5" s="1"/>
  <c r="W54" i="5" l="1"/>
  <c r="X54" i="5"/>
  <c r="Y54" i="5" s="1"/>
  <c r="C36" i="5"/>
  <c r="D36" i="5"/>
  <c r="F24" i="5" l="1"/>
  <c r="G24" i="5" s="1"/>
  <c r="E36" i="5"/>
  <c r="B37" i="5" l="1"/>
  <c r="C37" i="5" l="1"/>
  <c r="D37" i="5"/>
  <c r="F25" i="5" l="1"/>
  <c r="G25" i="5" s="1"/>
  <c r="E37" i="5"/>
  <c r="B38" i="5" l="1"/>
  <c r="C38" i="5" l="1"/>
  <c r="D38" i="5"/>
  <c r="F26" i="5" l="1"/>
  <c r="G26" i="5" s="1"/>
  <c r="E38" i="5"/>
  <c r="B39" i="5" l="1"/>
  <c r="C39" i="5" l="1"/>
  <c r="D39" i="5"/>
  <c r="F27" i="5" l="1"/>
  <c r="G27" i="5" s="1"/>
  <c r="E39" i="5"/>
  <c r="B40" i="5" l="1"/>
  <c r="C40" i="5" l="1"/>
  <c r="D40" i="5"/>
  <c r="E40" i="5" s="1"/>
  <c r="B41" i="5" l="1"/>
  <c r="F28" i="5"/>
  <c r="G28" i="5" s="1"/>
  <c r="C41" i="5" l="1"/>
  <c r="D41" i="5"/>
  <c r="E41" i="5" s="1"/>
  <c r="B42" i="5" l="1"/>
  <c r="F29" i="5"/>
  <c r="G29" i="5" s="1"/>
  <c r="C42" i="5" l="1"/>
  <c r="D42" i="5"/>
  <c r="E42" i="5"/>
  <c r="B43" i="5" l="1"/>
  <c r="F30" i="5"/>
  <c r="G30" i="5" s="1"/>
  <c r="C43" i="5" l="1"/>
  <c r="D43" i="5"/>
  <c r="F31" i="5" l="1"/>
  <c r="G31" i="5" s="1"/>
  <c r="E43" i="5"/>
  <c r="B44" i="5" s="1"/>
  <c r="C44" i="5" l="1"/>
  <c r="D44" i="5"/>
  <c r="F32" i="5" l="1"/>
  <c r="G32" i="5" s="1"/>
  <c r="E44" i="5"/>
  <c r="B45" i="5" s="1"/>
  <c r="C45" i="5" l="1"/>
  <c r="D45" i="5"/>
  <c r="F33" i="5" l="1"/>
  <c r="G33" i="5" s="1"/>
  <c r="E45" i="5"/>
  <c r="B46" i="5" s="1"/>
  <c r="C46" i="5" l="1"/>
  <c r="D46" i="5"/>
  <c r="E46" i="5"/>
  <c r="B47" i="5" s="1"/>
  <c r="C47" i="5" l="1"/>
  <c r="D47" i="5"/>
  <c r="F35" i="5" s="1"/>
  <c r="G35" i="5" s="1"/>
  <c r="E47" i="5"/>
  <c r="B48" i="5" s="1"/>
  <c r="F34" i="5"/>
  <c r="G34" i="5" s="1"/>
  <c r="C48" i="5" l="1"/>
  <c r="D48" i="5"/>
  <c r="F36" i="5" s="1"/>
  <c r="G36" i="5" s="1"/>
  <c r="E48" i="5"/>
  <c r="B49" i="5" s="1"/>
  <c r="C49" i="5" l="1"/>
  <c r="D49" i="5"/>
  <c r="F37" i="5" s="1"/>
  <c r="G37" i="5" s="1"/>
  <c r="E49" i="5" l="1"/>
  <c r="B50" i="5" s="1"/>
  <c r="C50" i="5" l="1"/>
  <c r="D50" i="5"/>
  <c r="F38" i="5" s="1"/>
  <c r="G38" i="5" s="1"/>
  <c r="E50" i="5" l="1"/>
  <c r="B51" i="5" s="1"/>
  <c r="C51" i="5" l="1"/>
  <c r="D51" i="5"/>
  <c r="F39" i="5" s="1"/>
  <c r="G39" i="5" s="1"/>
  <c r="E51" i="5" l="1"/>
  <c r="B52" i="5" s="1"/>
  <c r="C52" i="5" l="1"/>
  <c r="D52" i="5"/>
  <c r="F40" i="5" s="1"/>
  <c r="G40" i="5" s="1"/>
  <c r="E52" i="5"/>
  <c r="B53" i="5" s="1"/>
  <c r="C53" i="5" l="1"/>
  <c r="D53" i="5"/>
  <c r="F41" i="5" s="1"/>
  <c r="G41" i="5" s="1"/>
  <c r="E53" i="5" l="1"/>
  <c r="B54" i="5" s="1"/>
  <c r="C54" i="5" l="1"/>
  <c r="D54" i="5"/>
  <c r="F42" i="5" s="1"/>
  <c r="G42" i="5" s="1"/>
  <c r="E54" i="5"/>
</calcChain>
</file>

<file path=xl/comments1.xml><?xml version="1.0" encoding="utf-8"?>
<comments xmlns="http://schemas.openxmlformats.org/spreadsheetml/2006/main">
  <authors>
    <author>SD SBDC</author>
  </authors>
  <commentList>
    <comment ref="C15" authorId="0" shapeId="0">
      <text>
        <r>
          <rPr>
            <b/>
            <sz val="8"/>
            <color indexed="8"/>
            <rFont val="Tahoma"/>
          </rPr>
          <t xml:space="preserve">SBDC:  </t>
        </r>
        <r>
          <rPr>
            <sz val="8"/>
            <color indexed="8"/>
            <rFont val="Tahoma"/>
          </rPr>
          <t>use a "1" to indicate that this loan is used as part of the original business start-up.  Use a "13" to indicate a loan starting the 1st month of the 2nd year.</t>
        </r>
      </text>
    </comment>
  </commentList>
</comments>
</file>

<file path=xl/comments2.xml><?xml version="1.0" encoding="utf-8"?>
<comments xmlns="http://schemas.openxmlformats.org/spreadsheetml/2006/main">
  <authors>
    <author>SBDC</author>
  </authors>
  <commentList>
    <comment ref="G11" authorId="0" shapeId="0">
      <text>
        <r>
          <rPr>
            <b/>
            <sz val="8"/>
            <color indexed="8"/>
            <rFont val="Tahoma"/>
          </rPr>
          <t xml:space="preserve">SBDC:  </t>
        </r>
        <r>
          <rPr>
            <sz val="8"/>
            <color indexed="8"/>
            <rFont val="Tahoma"/>
          </rPr>
          <t xml:space="preserve">Those Expenses that are truly variable should be listed under Cost of Goods Sold on the Income Statement.  There are occaisions however, when a "Fixed" Expense needs to be broken down into "Fixed" and "Variable" portions.
Just Click on the appropriate Fixed Expense Box, in Column F, hit ctrl-x, then move 3 columns to the right (Column I) and hit return. [Copy-paste function]
</t>
        </r>
      </text>
    </comment>
  </commentList>
</comments>
</file>

<file path=xl/sharedStrings.xml><?xml version="1.0" encoding="utf-8"?>
<sst xmlns="http://schemas.openxmlformats.org/spreadsheetml/2006/main" count="272" uniqueCount="161">
  <si>
    <t xml:space="preserve"> 客户名称：</t>
  </si>
  <si>
    <t xml:space="preserve"> 财务报告表： </t>
  </si>
  <si>
    <t>收入报告表</t>
  </si>
  <si>
    <t xml:space="preserve"> 编制日期</t>
  </si>
  <si>
    <t>12个月</t>
  </si>
  <si>
    <t>占销售额的百分比（％）</t>
  </si>
  <si>
    <t>收益</t>
  </si>
  <si>
    <t>收入总计</t>
  </si>
  <si>
    <t>已售商品成本</t>
  </si>
  <si>
    <t xml:space="preserve">材料 </t>
  </si>
  <si>
    <t>劳工</t>
  </si>
  <si>
    <t>运输</t>
  </si>
  <si>
    <t>商家费</t>
  </si>
  <si>
    <t>销售佣金</t>
  </si>
  <si>
    <t>商品总成本</t>
  </si>
  <si>
    <t>总利润</t>
  </si>
  <si>
    <t xml:space="preserve"> </t>
  </si>
  <si>
    <t>费用：</t>
  </si>
  <si>
    <t>广告费用</t>
  </si>
  <si>
    <t>营业执照和费用</t>
  </si>
  <si>
    <t>车辆费用</t>
  </si>
  <si>
    <t>会费和订阅</t>
  </si>
  <si>
    <t>保险</t>
  </si>
  <si>
    <t>维修和保养</t>
  </si>
  <si>
    <t>营销费用</t>
  </si>
  <si>
    <t>餐饮和娱乐</t>
  </si>
  <si>
    <t>办公用品</t>
  </si>
  <si>
    <t>邮资</t>
  </si>
  <si>
    <t>专业费用</t>
  </si>
  <si>
    <t>租金</t>
  </si>
  <si>
    <t>设备租金</t>
  </si>
  <si>
    <t>耗材</t>
  </si>
  <si>
    <t>电话</t>
  </si>
  <si>
    <t>公用事业</t>
  </si>
  <si>
    <t>行政工资</t>
  </si>
  <si>
    <t>员工福利</t>
  </si>
  <si>
    <t>银行费用</t>
  </si>
  <si>
    <t>供暖费用</t>
  </si>
  <si>
    <t xml:space="preserve">工人补偿 </t>
  </si>
  <si>
    <t>捐献</t>
  </si>
  <si>
    <t>培训和员工发展</t>
  </si>
  <si>
    <t>杂项</t>
  </si>
  <si>
    <t>（开放）</t>
  </si>
  <si>
    <t>内部-贷款1</t>
  </si>
  <si>
    <t>内部-信用额度</t>
  </si>
  <si>
    <t>折旧</t>
  </si>
  <si>
    <t>摊销</t>
  </si>
  <si>
    <t>DO NOT USE OR DELETE</t>
  </si>
  <si>
    <t>总费用</t>
  </si>
  <si>
    <t>净收入</t>
  </si>
  <si>
    <t>预算年度</t>
  </si>
  <si>
    <t>总计</t>
  </si>
  <si>
    <t>现金收讫</t>
  </si>
  <si>
    <t>现金销售额</t>
  </si>
  <si>
    <t>从贷方收取</t>
  </si>
  <si>
    <t>取款/（还款）信用额度</t>
  </si>
  <si>
    <t>贷款注入</t>
  </si>
  <si>
    <t>权益注入</t>
  </si>
  <si>
    <t>收到的现金总计</t>
  </si>
  <si>
    <t>已付现金</t>
  </si>
  <si>
    <t>Do NOT USE OR DELETE</t>
  </si>
  <si>
    <t>小计</t>
  </si>
  <si>
    <t>本金付款-贷款1</t>
  </si>
  <si>
    <t>偿还现有债务</t>
  </si>
  <si>
    <t>资金购买</t>
  </si>
  <si>
    <t>所得税</t>
  </si>
  <si>
    <t>业主取款</t>
  </si>
  <si>
    <t>已付现金总计</t>
  </si>
  <si>
    <t>现金变化</t>
  </si>
  <si>
    <t>期初余额</t>
  </si>
  <si>
    <t>期末余额</t>
  </si>
  <si>
    <t>形式资产负债表</t>
  </si>
  <si>
    <t>资产</t>
  </si>
  <si>
    <t>以前</t>
  </si>
  <si>
    <t>现金</t>
  </si>
  <si>
    <t>应收账款</t>
  </si>
  <si>
    <t>库存</t>
  </si>
  <si>
    <t>预付</t>
  </si>
  <si>
    <t>其他（管理人员）</t>
  </si>
  <si>
    <t>当前资产</t>
  </si>
  <si>
    <t>固定资产净值</t>
  </si>
  <si>
    <t>无形资产净值</t>
  </si>
  <si>
    <t>其他</t>
  </si>
  <si>
    <t>资产总计</t>
  </si>
  <si>
    <t>负债</t>
  </si>
  <si>
    <t>应付账款</t>
  </si>
  <si>
    <t>信用额度</t>
  </si>
  <si>
    <t>信用卡</t>
  </si>
  <si>
    <t>应计收支额</t>
  </si>
  <si>
    <t>CPLTD-贷款1</t>
  </si>
  <si>
    <t>当前负债</t>
  </si>
  <si>
    <t>长期贷款1</t>
  </si>
  <si>
    <t>管理人员债务小计</t>
  </si>
  <si>
    <t>负债总计</t>
  </si>
  <si>
    <t>业主权益</t>
  </si>
  <si>
    <t>业主资本</t>
  </si>
  <si>
    <t>业主应缴税款</t>
  </si>
  <si>
    <t>净收入（亏损）</t>
  </si>
  <si>
    <t>业主权益总计</t>
  </si>
  <si>
    <t>总负债和净值</t>
  </si>
  <si>
    <t>支票</t>
  </si>
  <si>
    <t xml:space="preserve">     贷款信息</t>
  </si>
  <si>
    <t>LOAN 1</t>
  </si>
  <si>
    <t>LOAN 2</t>
  </si>
  <si>
    <t xml:space="preserve">  贷款来源：</t>
  </si>
  <si>
    <t>银行贷款</t>
  </si>
  <si>
    <t>建筑</t>
  </si>
  <si>
    <t xml:space="preserve">  SBA 7(a)担保？（是/否）</t>
  </si>
  <si>
    <t>否</t>
  </si>
  <si>
    <t>iteration:</t>
  </si>
  <si>
    <t xml:space="preserve">  所需资金：</t>
  </si>
  <si>
    <t>Loan Amt</t>
  </si>
  <si>
    <t>Guaranty Portion</t>
  </si>
  <si>
    <t xml:space="preserve">  年利率：</t>
  </si>
  <si>
    <t>Loan Fee</t>
  </si>
  <si>
    <t xml:space="preserve">  期限（年）：</t>
  </si>
  <si>
    <t xml:space="preserve">  起始月：</t>
  </si>
  <si>
    <t xml:space="preserve">  SBA贷款担保费：</t>
  </si>
  <si>
    <t xml:space="preserve">  融资总计：</t>
  </si>
  <si>
    <t xml:space="preserve">  每月支付：</t>
  </si>
  <si>
    <t>贷款3</t>
  </si>
  <si>
    <t>贷款4</t>
  </si>
  <si>
    <t>贷款1</t>
  </si>
  <si>
    <t>贷款2</t>
  </si>
  <si>
    <t>付款</t>
  </si>
  <si>
    <t>期初</t>
  </si>
  <si>
    <t>利息</t>
  </si>
  <si>
    <t>本金</t>
  </si>
  <si>
    <t>期末</t>
  </si>
  <si>
    <t>CPLTD</t>
  </si>
  <si>
    <t>LTD</t>
  </si>
  <si>
    <t xml:space="preserve">贷款 </t>
  </si>
  <si>
    <t>贷款费用</t>
  </si>
  <si>
    <t>Loan</t>
  </si>
  <si>
    <t>Total Loan</t>
  </si>
  <si>
    <t>余额</t>
  </si>
  <si>
    <t>费用（净额）</t>
  </si>
  <si>
    <t>每月摊销</t>
  </si>
  <si>
    <t>Fee (Net)</t>
  </si>
  <si>
    <t>Mo. Amort</t>
  </si>
  <si>
    <t>Fee Amort</t>
  </si>
  <si>
    <t>盈亏平衡分析</t>
  </si>
  <si>
    <t>第1年</t>
  </si>
  <si>
    <t>总销售额</t>
  </si>
  <si>
    <t>信息转移后：从常规费用中扣除可变百分比。</t>
  </si>
  <si>
    <t>商品成本</t>
  </si>
  <si>
    <t>总毛利</t>
  </si>
  <si>
    <t>项目</t>
  </si>
  <si>
    <t>固定费用</t>
  </si>
  <si>
    <t>可变费用</t>
  </si>
  <si>
    <t xml:space="preserve">  </t>
  </si>
  <si>
    <t>本金付款</t>
  </si>
  <si>
    <t>收益率</t>
  </si>
  <si>
    <t xml:space="preserve">  盈亏平衡后</t>
  </si>
  <si>
    <t>盈亏平衡点</t>
  </si>
  <si>
    <t>占预计销售额百分比（%）</t>
  </si>
  <si>
    <t>销售额百分比（%）</t>
  </si>
  <si>
    <t>利润</t>
  </si>
  <si>
    <t>金额</t>
  </si>
  <si>
    <t>基于费用</t>
  </si>
  <si>
    <t>基于现金流量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</si>
</sst>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8" formatCode="mmm\-yy_)"/>
    <numFmt numFmtId="169" formatCode="0.0%"/>
    <numFmt numFmtId="170" formatCode="&quot;$&quot;#,##0.0_);\(&quot;$&quot;#,##0.0\)"/>
    <numFmt numFmtId="171" formatCode="#,##0.0000_);\(#,##0.0000\)"/>
    <numFmt numFmtId="172" formatCode="&quot;$&quot;#,##0"/>
  </numFmts>
  <fonts count="38">
    <font>
      <sz val="10"/>
      <name val="Arial MT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 MT"/>
    </font>
    <font>
      <sz val="7"/>
      <name val="Arial MT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7"/>
      <name val="Arial MT"/>
    </font>
    <font>
      <sz val="12"/>
      <color indexed="12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b/>
      <sz val="12"/>
      <name val="Arial MT"/>
    </font>
    <font>
      <sz val="12"/>
      <color indexed="10"/>
      <name val="Arial"/>
      <family val="2"/>
    </font>
    <font>
      <sz val="8"/>
      <color indexed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indexed="48"/>
      <name val="Arial"/>
      <family val="2"/>
    </font>
    <font>
      <b/>
      <sz val="9"/>
      <name val="Arial MT"/>
    </font>
    <font>
      <b/>
      <sz val="8"/>
      <color indexed="8"/>
      <name val="Tahoma"/>
    </font>
    <font>
      <sz val="8"/>
      <color indexed="8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0625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43">
    <xf numFmtId="5" fontId="0" fillId="0" borderId="0"/>
    <xf numFmtId="9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8">
    <xf numFmtId="5" fontId="0" fillId="0" borderId="0" xfId="0"/>
    <xf numFmtId="5" fontId="22" fillId="0" borderId="0" xfId="0" applyFont="1" applyProtection="1">
      <protection locked="0"/>
    </xf>
    <xf numFmtId="5" fontId="20" fillId="0" borderId="0" xfId="0" applyFont="1" applyProtection="1">
      <protection locked="0"/>
    </xf>
    <xf numFmtId="5" fontId="32" fillId="0" borderId="0" xfId="0" applyFont="1" applyProtection="1">
      <protection locked="0"/>
    </xf>
    <xf numFmtId="5" fontId="20" fillId="0" borderId="10" xfId="0" applyFont="1" applyBorder="1" applyAlignment="1" applyProtection="1">
      <alignment horizontal="left"/>
      <protection locked="0"/>
    </xf>
    <xf numFmtId="5" fontId="20" fillId="0" borderId="11" xfId="0" applyFont="1" applyBorder="1" applyProtection="1">
      <protection locked="0"/>
    </xf>
    <xf numFmtId="5" fontId="26" fillId="0" borderId="11" xfId="0" applyFont="1" applyBorder="1" applyProtection="1">
      <protection locked="0"/>
    </xf>
    <xf numFmtId="5" fontId="32" fillId="0" borderId="11" xfId="0" applyFont="1" applyBorder="1" applyProtection="1">
      <protection locked="0"/>
    </xf>
    <xf numFmtId="5" fontId="32" fillId="0" borderId="12" xfId="0" applyFont="1" applyBorder="1" applyProtection="1">
      <protection locked="0"/>
    </xf>
    <xf numFmtId="5" fontId="20" fillId="0" borderId="13" xfId="0" applyFont="1" applyBorder="1" applyAlignment="1" applyProtection="1">
      <alignment horizontal="left"/>
      <protection locked="0"/>
    </xf>
    <xf numFmtId="5" fontId="20" fillId="0" borderId="0" xfId="0" applyFont="1" applyBorder="1" applyProtection="1">
      <protection locked="0"/>
    </xf>
    <xf numFmtId="5" fontId="32" fillId="0" borderId="0" xfId="0" applyFont="1" applyBorder="1" applyProtection="1">
      <protection locked="0"/>
    </xf>
    <xf numFmtId="5" fontId="32" fillId="0" borderId="14" xfId="0" applyFont="1" applyBorder="1" applyProtection="1">
      <protection locked="0"/>
    </xf>
    <xf numFmtId="5" fontId="26" fillId="0" borderId="0" xfId="0" applyFont="1" applyBorder="1" applyProtection="1">
      <protection locked="0"/>
    </xf>
    <xf numFmtId="5" fontId="20" fillId="0" borderId="13" xfId="0" applyFont="1" applyBorder="1" applyProtection="1">
      <protection locked="0"/>
    </xf>
    <xf numFmtId="5" fontId="20" fillId="0" borderId="15" xfId="0" applyFont="1" applyBorder="1" applyProtection="1">
      <protection locked="0"/>
    </xf>
    <xf numFmtId="5" fontId="20" fillId="0" borderId="16" xfId="0" applyFont="1" applyBorder="1" applyProtection="1">
      <protection locked="0"/>
    </xf>
    <xf numFmtId="5" fontId="32" fillId="0" borderId="16" xfId="0" applyFont="1" applyBorder="1" applyProtection="1">
      <protection locked="0"/>
    </xf>
    <xf numFmtId="5" fontId="32" fillId="0" borderId="17" xfId="0" applyFont="1" applyBorder="1" applyProtection="1">
      <protection locked="0"/>
    </xf>
    <xf numFmtId="168" fontId="20" fillId="0" borderId="18" xfId="0" applyNumberFormat="1" applyFont="1" applyBorder="1" applyProtection="1">
      <protection locked="0"/>
    </xf>
    <xf numFmtId="5" fontId="20" fillId="0" borderId="19" xfId="0" applyFont="1" applyBorder="1" applyProtection="1">
      <protection locked="0"/>
    </xf>
    <xf numFmtId="168" fontId="32" fillId="0" borderId="20" xfId="0" applyNumberFormat="1" applyFont="1" applyBorder="1" applyAlignment="1" applyProtection="1">
      <alignment horizontal="left"/>
      <protection locked="0"/>
    </xf>
    <xf numFmtId="5" fontId="32" fillId="0" borderId="21" xfId="0" applyFont="1" applyBorder="1" applyProtection="1">
      <protection locked="0"/>
    </xf>
    <xf numFmtId="168" fontId="20" fillId="0" borderId="13" xfId="0" applyNumberFormat="1" applyFont="1" applyBorder="1" applyProtection="1">
      <protection locked="0"/>
    </xf>
    <xf numFmtId="5" fontId="32" fillId="0" borderId="22" xfId="0" applyFont="1" applyBorder="1" applyProtection="1">
      <protection locked="0"/>
    </xf>
    <xf numFmtId="5" fontId="20" fillId="0" borderId="0" xfId="0" applyFont="1" applyBorder="1" applyAlignment="1" applyProtection="1">
      <alignment horizontal="left"/>
      <protection locked="0"/>
    </xf>
    <xf numFmtId="6" fontId="32" fillId="0" borderId="23" xfId="0" applyNumberFormat="1" applyFont="1" applyBorder="1" applyProtection="1">
      <protection locked="0"/>
    </xf>
    <xf numFmtId="169" fontId="32" fillId="0" borderId="22" xfId="0" applyNumberFormat="1" applyFont="1" applyBorder="1" applyProtection="1">
      <protection locked="0"/>
    </xf>
    <xf numFmtId="6" fontId="32" fillId="0" borderId="0" xfId="0" applyNumberFormat="1" applyFont="1" applyBorder="1" applyProtection="1">
      <protection locked="0"/>
    </xf>
    <xf numFmtId="6" fontId="33" fillId="0" borderId="0" xfId="0" applyNumberFormat="1" applyFont="1" applyBorder="1" applyAlignment="1" applyProtection="1">
      <alignment horizontal="right"/>
      <protection locked="0"/>
    </xf>
    <xf numFmtId="168" fontId="20" fillId="0" borderId="24" xfId="0" applyNumberFormat="1" applyFont="1" applyBorder="1" applyProtection="1">
      <protection locked="0"/>
    </xf>
    <xf numFmtId="5" fontId="20" fillId="0" borderId="25" xfId="0" applyFont="1" applyBorder="1" applyAlignment="1" applyProtection="1">
      <alignment horizontal="left"/>
      <protection locked="0"/>
    </xf>
    <xf numFmtId="5" fontId="20" fillId="0" borderId="25" xfId="0" applyFont="1" applyBorder="1" applyProtection="1">
      <protection locked="0"/>
    </xf>
    <xf numFmtId="6" fontId="34" fillId="0" borderId="25" xfId="0" applyNumberFormat="1" applyFont="1" applyBorder="1" applyProtection="1">
      <protection locked="0"/>
    </xf>
    <xf numFmtId="169" fontId="32" fillId="0" borderId="26" xfId="0" applyNumberFormat="1" applyFont="1" applyBorder="1" applyProtection="1">
      <protection locked="0"/>
    </xf>
    <xf numFmtId="168" fontId="20" fillId="0" borderId="27" xfId="0" applyNumberFormat="1" applyFont="1" applyBorder="1" applyProtection="1">
      <protection locked="0"/>
    </xf>
    <xf numFmtId="5" fontId="20" fillId="0" borderId="28" xfId="0" applyFont="1" applyBorder="1" applyProtection="1">
      <protection locked="0"/>
    </xf>
    <xf numFmtId="5" fontId="20" fillId="0" borderId="29" xfId="0" applyFont="1" applyBorder="1" applyProtection="1">
      <protection locked="0"/>
    </xf>
    <xf numFmtId="6" fontId="33" fillId="0" borderId="30" xfId="0" applyNumberFormat="1" applyFont="1" applyBorder="1" applyAlignment="1" applyProtection="1">
      <alignment horizontal="left"/>
      <protection locked="0"/>
    </xf>
    <xf numFmtId="5" fontId="27" fillId="0" borderId="31" xfId="0" applyFont="1" applyBorder="1" applyProtection="1">
      <protection locked="0"/>
    </xf>
    <xf numFmtId="6" fontId="33" fillId="0" borderId="32" xfId="0" applyNumberFormat="1" applyFont="1" applyBorder="1" applyProtection="1">
      <protection locked="0"/>
    </xf>
    <xf numFmtId="0" fontId="22" fillId="0" borderId="0" xfId="0" applyNumberFormat="1" applyFont="1" applyBorder="1" applyProtection="1">
      <protection locked="0"/>
    </xf>
    <xf numFmtId="5" fontId="32" fillId="0" borderId="0" xfId="0" applyFont="1" applyBorder="1"/>
    <xf numFmtId="5" fontId="20" fillId="0" borderId="31" xfId="0" applyFont="1" applyBorder="1" applyProtection="1">
      <protection locked="0"/>
    </xf>
    <xf numFmtId="172" fontId="32" fillId="0" borderId="32" xfId="0" applyNumberFormat="1" applyFont="1" applyBorder="1" applyProtection="1">
      <protection locked="0"/>
    </xf>
    <xf numFmtId="5" fontId="26" fillId="0" borderId="0" xfId="0" applyFont="1" applyBorder="1" applyAlignment="1" applyProtection="1">
      <alignment horizontal="left"/>
      <protection locked="0"/>
    </xf>
    <xf numFmtId="6" fontId="32" fillId="0" borderId="32" xfId="0" applyNumberFormat="1" applyFont="1" applyBorder="1" applyProtection="1">
      <protection locked="0"/>
    </xf>
    <xf numFmtId="168" fontId="20" fillId="0" borderId="33" xfId="0" applyNumberFormat="1" applyFont="1" applyBorder="1" applyProtection="1">
      <protection locked="0"/>
    </xf>
    <xf numFmtId="5" fontId="20" fillId="0" borderId="34" xfId="0" applyFont="1" applyBorder="1" applyAlignment="1" applyProtection="1">
      <alignment horizontal="left"/>
      <protection locked="0"/>
    </xf>
    <xf numFmtId="5" fontId="20" fillId="0" borderId="34" xfId="0" applyFont="1" applyBorder="1" applyProtection="1">
      <protection locked="0"/>
    </xf>
    <xf numFmtId="6" fontId="32" fillId="0" borderId="34" xfId="0" applyNumberFormat="1" applyFont="1" applyBorder="1" applyProtection="1">
      <protection locked="0"/>
    </xf>
    <xf numFmtId="168" fontId="20" fillId="33" borderId="35" xfId="0" applyNumberFormat="1" applyFont="1" applyFill="1" applyBorder="1" applyProtection="1">
      <protection locked="0"/>
    </xf>
    <xf numFmtId="5" fontId="20" fillId="33" borderId="36" xfId="0" applyFont="1" applyFill="1" applyBorder="1" applyAlignment="1" applyProtection="1">
      <alignment horizontal="left"/>
      <protection locked="0"/>
    </xf>
    <xf numFmtId="5" fontId="20" fillId="33" borderId="36" xfId="0" applyFont="1" applyFill="1" applyBorder="1" applyProtection="1">
      <protection locked="0"/>
    </xf>
    <xf numFmtId="6" fontId="32" fillId="33" borderId="36" xfId="0" applyNumberFormat="1" applyFont="1" applyFill="1" applyBorder="1" applyProtection="1">
      <protection locked="0"/>
    </xf>
    <xf numFmtId="6" fontId="32" fillId="0" borderId="0" xfId="0" applyNumberFormat="1" applyFont="1" applyProtection="1">
      <protection locked="0"/>
    </xf>
    <xf numFmtId="169" fontId="32" fillId="0" borderId="0" xfId="0" applyNumberFormat="1" applyFont="1" applyProtection="1">
      <protection locked="0"/>
    </xf>
    <xf numFmtId="5" fontId="22" fillId="0" borderId="0" xfId="0" applyFont="1"/>
    <xf numFmtId="5" fontId="20" fillId="0" borderId="0" xfId="0" applyFont="1"/>
    <xf numFmtId="5" fontId="20" fillId="0" borderId="10" xfId="0" applyFont="1" applyBorder="1" applyProtection="1">
      <protection locked="0"/>
    </xf>
    <xf numFmtId="5" fontId="20" fillId="0" borderId="12" xfId="0" applyFont="1" applyBorder="1" applyProtection="1">
      <protection locked="0"/>
    </xf>
    <xf numFmtId="5" fontId="20" fillId="0" borderId="14" xfId="0" applyFont="1" applyBorder="1" applyProtection="1">
      <protection locked="0"/>
    </xf>
    <xf numFmtId="5" fontId="20" fillId="0" borderId="17" xfId="0" applyFont="1" applyBorder="1" applyProtection="1">
      <protection locked="0"/>
    </xf>
    <xf numFmtId="168" fontId="20" fillId="0" borderId="37" xfId="0" applyNumberFormat="1" applyFont="1" applyBorder="1" applyProtection="1">
      <protection locked="0"/>
    </xf>
    <xf numFmtId="5" fontId="20" fillId="0" borderId="19" xfId="0" applyFont="1" applyBorder="1" applyAlignment="1" applyProtection="1">
      <alignment horizontal="left"/>
      <protection locked="0"/>
    </xf>
    <xf numFmtId="168" fontId="20" fillId="0" borderId="38" xfId="0" applyNumberFormat="1" applyFont="1" applyBorder="1" applyAlignment="1" applyProtection="1">
      <alignment horizontal="center"/>
      <protection locked="0"/>
    </xf>
    <xf numFmtId="168" fontId="20" fillId="0" borderId="39" xfId="0" applyNumberFormat="1" applyFont="1" applyBorder="1" applyProtection="1">
      <protection locked="0"/>
    </xf>
    <xf numFmtId="5" fontId="20" fillId="0" borderId="0" xfId="0" applyFont="1" applyAlignment="1" applyProtection="1">
      <alignment horizontal="left"/>
      <protection locked="0"/>
    </xf>
    <xf numFmtId="5" fontId="20" fillId="0" borderId="31" xfId="0" applyNumberFormat="1" applyFont="1" applyBorder="1" applyProtection="1">
      <protection locked="0"/>
    </xf>
    <xf numFmtId="5" fontId="20" fillId="0" borderId="23" xfId="0" applyFont="1" applyBorder="1" applyProtection="1">
      <protection locked="0"/>
    </xf>
    <xf numFmtId="168" fontId="20" fillId="0" borderId="40" xfId="0" applyNumberFormat="1" applyFont="1" applyBorder="1" applyProtection="1">
      <protection locked="0"/>
    </xf>
    <xf numFmtId="5" fontId="20" fillId="0" borderId="41" xfId="0" applyFont="1" applyBorder="1" applyProtection="1">
      <protection locked="0"/>
    </xf>
    <xf numFmtId="5" fontId="20" fillId="0" borderId="32" xfId="0" applyNumberFormat="1" applyFont="1" applyBorder="1" applyProtection="1">
      <protection locked="0"/>
    </xf>
    <xf numFmtId="5" fontId="26" fillId="0" borderId="32" xfId="0" applyNumberFormat="1" applyFont="1" applyBorder="1" applyProtection="1">
      <protection locked="0"/>
    </xf>
    <xf numFmtId="5" fontId="20" fillId="0" borderId="32" xfId="0" applyFont="1" applyBorder="1" applyProtection="1">
      <protection locked="0"/>
    </xf>
    <xf numFmtId="5" fontId="20" fillId="0" borderId="0" xfId="0" applyNumberFormat="1" applyFont="1" applyProtection="1">
      <protection locked="0"/>
    </xf>
    <xf numFmtId="5" fontId="31" fillId="0" borderId="0" xfId="0" applyFont="1"/>
    <xf numFmtId="168" fontId="30" fillId="0" borderId="39" xfId="0" applyNumberFormat="1" applyFont="1" applyBorder="1" applyProtection="1">
      <protection locked="0"/>
    </xf>
    <xf numFmtId="5" fontId="30" fillId="0" borderId="0" xfId="0" applyFont="1" applyProtection="1">
      <protection locked="0"/>
    </xf>
    <xf numFmtId="5" fontId="30" fillId="0" borderId="0" xfId="0" applyNumberFormat="1" applyFont="1" applyProtection="1">
      <protection locked="0"/>
    </xf>
    <xf numFmtId="5" fontId="30" fillId="0" borderId="31" xfId="0" applyFont="1" applyBorder="1" applyProtection="1">
      <protection locked="0"/>
    </xf>
    <xf numFmtId="5" fontId="30" fillId="0" borderId="32" xfId="0" applyFont="1" applyBorder="1" applyProtection="1">
      <protection locked="0"/>
    </xf>
    <xf numFmtId="5" fontId="31" fillId="0" borderId="0" xfId="0" applyFont="1" applyProtection="1">
      <protection locked="0"/>
    </xf>
    <xf numFmtId="5" fontId="20" fillId="0" borderId="39" xfId="0" applyFont="1" applyBorder="1" applyProtection="1">
      <protection locked="0"/>
    </xf>
    <xf numFmtId="9" fontId="20" fillId="0" borderId="0" xfId="1" applyFont="1" applyProtection="1">
      <protection locked="0"/>
    </xf>
    <xf numFmtId="5" fontId="20" fillId="0" borderId="29" xfId="0" applyNumberFormat="1" applyFont="1" applyBorder="1" applyProtection="1">
      <protection locked="0"/>
    </xf>
    <xf numFmtId="5" fontId="20" fillId="0" borderId="20" xfId="0" applyFont="1" applyBorder="1" applyProtection="1">
      <protection locked="0"/>
    </xf>
    <xf numFmtId="5" fontId="22" fillId="0" borderId="0" xfId="0" applyFont="1" applyBorder="1" applyProtection="1">
      <protection locked="0"/>
    </xf>
    <xf numFmtId="5" fontId="20" fillId="34" borderId="0" xfId="0" applyFont="1" applyFill="1" applyBorder="1" applyProtection="1">
      <protection locked="0"/>
    </xf>
    <xf numFmtId="168" fontId="20" fillId="33" borderId="40" xfId="0" applyNumberFormat="1" applyFont="1" applyFill="1" applyBorder="1" applyProtection="1">
      <protection locked="0"/>
    </xf>
    <xf numFmtId="5" fontId="20" fillId="33" borderId="25" xfId="0" applyFont="1" applyFill="1" applyBorder="1" applyProtection="1">
      <protection locked="0"/>
    </xf>
    <xf numFmtId="5" fontId="20" fillId="33" borderId="25" xfId="0" applyFont="1" applyFill="1" applyBorder="1" applyAlignment="1" applyProtection="1">
      <alignment horizontal="left"/>
      <protection locked="0"/>
    </xf>
    <xf numFmtId="5" fontId="20" fillId="0" borderId="13" xfId="0" applyFont="1" applyFill="1" applyBorder="1" applyProtection="1">
      <protection locked="0"/>
    </xf>
    <xf numFmtId="5" fontId="20" fillId="0" borderId="0" xfId="0" applyFont="1" applyFill="1" applyBorder="1" applyProtection="1">
      <protection locked="0"/>
    </xf>
    <xf numFmtId="5" fontId="20" fillId="0" borderId="42" xfId="0" applyFont="1" applyBorder="1" applyProtection="1">
      <protection locked="0"/>
    </xf>
    <xf numFmtId="5" fontId="21" fillId="0" borderId="28" xfId="0" applyFont="1" applyBorder="1" applyProtection="1">
      <protection locked="0"/>
    </xf>
    <xf numFmtId="5" fontId="22" fillId="0" borderId="13" xfId="0" applyFont="1" applyBorder="1"/>
    <xf numFmtId="5" fontId="21" fillId="0" borderId="0" xfId="0" applyFont="1" applyBorder="1" applyAlignment="1" applyProtection="1">
      <alignment horizontal="left"/>
      <protection locked="0"/>
    </xf>
    <xf numFmtId="14" fontId="20" fillId="0" borderId="0" xfId="0" applyNumberFormat="1" applyFont="1" applyBorder="1" applyAlignment="1" applyProtection="1">
      <alignment horizontal="left"/>
      <protection locked="0"/>
    </xf>
    <xf numFmtId="5" fontId="20" fillId="0" borderId="40" xfId="0" applyFont="1" applyBorder="1" applyProtection="1">
      <protection locked="0"/>
    </xf>
    <xf numFmtId="168" fontId="20" fillId="0" borderId="40" xfId="0" applyNumberFormat="1" applyFont="1" applyBorder="1" applyAlignment="1" applyProtection="1">
      <alignment horizontal="center"/>
      <protection locked="0"/>
    </xf>
    <xf numFmtId="168" fontId="20" fillId="0" borderId="25" xfId="0" applyNumberFormat="1" applyFont="1" applyBorder="1" applyAlignment="1" applyProtection="1">
      <alignment horizontal="center"/>
      <protection locked="0"/>
    </xf>
    <xf numFmtId="5" fontId="20" fillId="0" borderId="0" xfId="0" applyFont="1" applyFill="1" applyAlignment="1" applyProtection="1">
      <alignment horizontal="left"/>
      <protection locked="0"/>
    </xf>
    <xf numFmtId="5" fontId="20" fillId="0" borderId="43" xfId="0" applyFont="1" applyBorder="1" applyProtection="1">
      <protection locked="0"/>
    </xf>
    <xf numFmtId="5" fontId="20" fillId="0" borderId="37" xfId="0" applyFont="1" applyBorder="1" applyProtection="1">
      <protection locked="0"/>
    </xf>
    <xf numFmtId="5" fontId="22" fillId="0" borderId="0" xfId="0" applyFont="1" applyBorder="1"/>
    <xf numFmtId="5" fontId="22" fillId="0" borderId="34" xfId="0" applyFont="1" applyBorder="1"/>
    <xf numFmtId="5" fontId="20" fillId="0" borderId="44" xfId="0" applyFont="1" applyBorder="1" applyProtection="1">
      <protection locked="0"/>
    </xf>
    <xf numFmtId="5" fontId="22" fillId="0" borderId="33" xfId="0" applyFont="1" applyBorder="1"/>
    <xf numFmtId="0" fontId="20" fillId="0" borderId="0" xfId="0" applyNumberFormat="1" applyFont="1" applyAlignment="1">
      <alignment horizontal="center"/>
    </xf>
    <xf numFmtId="5" fontId="21" fillId="0" borderId="0" xfId="0" applyFont="1" applyAlignment="1">
      <alignment horizontal="center"/>
    </xf>
    <xf numFmtId="5" fontId="21" fillId="0" borderId="0" xfId="0" applyFont="1" applyBorder="1" applyAlignment="1" applyProtection="1">
      <alignment horizontal="center"/>
    </xf>
    <xf numFmtId="5" fontId="28" fillId="0" borderId="0" xfId="0" applyFont="1" applyBorder="1" applyAlignment="1" applyProtection="1">
      <alignment horizontal="center"/>
    </xf>
    <xf numFmtId="5" fontId="28" fillId="0" borderId="0" xfId="0" applyFont="1" applyBorder="1" applyAlignment="1" applyProtection="1">
      <alignment horizontal="center"/>
    </xf>
    <xf numFmtId="5" fontId="21" fillId="0" borderId="0" xfId="0" applyFont="1" applyBorder="1" applyAlignment="1" applyProtection="1">
      <alignment horizontal="center"/>
    </xf>
    <xf numFmtId="5" fontId="24" fillId="0" borderId="0" xfId="0" applyFont="1" applyBorder="1" applyAlignment="1" applyProtection="1">
      <alignment horizontal="center"/>
    </xf>
    <xf numFmtId="5" fontId="22" fillId="0" borderId="0" xfId="0" applyFont="1" applyBorder="1" applyAlignment="1" applyProtection="1">
      <alignment horizontal="center"/>
    </xf>
    <xf numFmtId="5" fontId="22" fillId="0" borderId="45" xfId="0" applyFont="1" applyBorder="1" applyAlignment="1" applyProtection="1">
      <alignment horizontal="center"/>
    </xf>
    <xf numFmtId="5" fontId="24" fillId="0" borderId="0" xfId="0" applyFont="1" applyBorder="1" applyAlignment="1" applyProtection="1">
      <alignment horizontal="center"/>
    </xf>
    <xf numFmtId="5" fontId="20" fillId="0" borderId="0" xfId="0" applyFont="1" applyBorder="1"/>
    <xf numFmtId="5" fontId="22" fillId="0" borderId="45" xfId="0" applyFont="1" applyBorder="1"/>
    <xf numFmtId="5" fontId="20" fillId="0" borderId="0" xfId="0" applyFont="1" applyBorder="1" applyAlignment="1" applyProtection="1">
      <alignment horizontal="left"/>
    </xf>
    <xf numFmtId="5" fontId="26" fillId="0" borderId="0" xfId="0" applyFont="1" applyBorder="1" applyAlignment="1" applyProtection="1">
      <alignment horizontal="center"/>
      <protection locked="0"/>
    </xf>
    <xf numFmtId="5" fontId="23" fillId="0" borderId="0" xfId="0" applyFont="1" applyBorder="1" applyAlignment="1">
      <alignment horizontal="center"/>
    </xf>
    <xf numFmtId="5" fontId="23" fillId="0" borderId="0" xfId="0" applyFont="1" applyBorder="1"/>
    <xf numFmtId="5" fontId="23" fillId="0" borderId="45" xfId="0" applyFont="1" applyBorder="1"/>
    <xf numFmtId="5" fontId="22" fillId="0" borderId="0" xfId="0" applyFont="1" applyBorder="1" applyAlignment="1" applyProtection="1">
      <alignment horizontal="left"/>
    </xf>
    <xf numFmtId="5" fontId="23" fillId="0" borderId="0" xfId="0" applyFont="1" applyBorder="1" applyAlignment="1" applyProtection="1">
      <alignment horizontal="center"/>
      <protection locked="0"/>
    </xf>
    <xf numFmtId="5" fontId="22" fillId="0" borderId="0" xfId="0" applyFont="1" applyBorder="1" applyAlignment="1">
      <alignment horizontal="right"/>
    </xf>
    <xf numFmtId="0" fontId="22" fillId="0" borderId="0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center"/>
    </xf>
    <xf numFmtId="5" fontId="26" fillId="0" borderId="0" xfId="0" applyFont="1" applyProtection="1">
      <protection locked="0"/>
    </xf>
    <xf numFmtId="5" fontId="23" fillId="0" borderId="0" xfId="0" applyFont="1" applyBorder="1" applyProtection="1"/>
    <xf numFmtId="5" fontId="23" fillId="0" borderId="45" xfId="0" applyFont="1" applyBorder="1" applyProtection="1"/>
    <xf numFmtId="5" fontId="23" fillId="0" borderId="0" xfId="0" applyFont="1" applyProtection="1">
      <protection locked="0"/>
    </xf>
    <xf numFmtId="5" fontId="23" fillId="0" borderId="0" xfId="0" applyFont="1" applyBorder="1" applyProtection="1">
      <protection locked="0"/>
    </xf>
    <xf numFmtId="10" fontId="26" fillId="0" borderId="0" xfId="0" applyNumberFormat="1" applyFont="1" applyBorder="1" applyProtection="1">
      <protection locked="0"/>
    </xf>
    <xf numFmtId="5" fontId="22" fillId="0" borderId="0" xfId="0" applyNumberFormat="1" applyFont="1" applyBorder="1"/>
    <xf numFmtId="10" fontId="23" fillId="0" borderId="0" xfId="0" applyNumberFormat="1" applyFont="1" applyBorder="1" applyProtection="1"/>
    <xf numFmtId="10" fontId="23" fillId="0" borderId="45" xfId="0" applyNumberFormat="1" applyFont="1" applyBorder="1" applyProtection="1"/>
    <xf numFmtId="10" fontId="23" fillId="0" borderId="0" xfId="0" applyNumberFormat="1" applyFont="1" applyBorder="1" applyProtection="1">
      <protection locked="0"/>
    </xf>
    <xf numFmtId="37" fontId="26" fillId="0" borderId="0" xfId="0" applyNumberFormat="1" applyFont="1" applyBorder="1" applyProtection="1">
      <protection locked="0"/>
    </xf>
    <xf numFmtId="37" fontId="23" fillId="0" borderId="0" xfId="0" applyNumberFormat="1" applyFont="1" applyBorder="1" applyProtection="1"/>
    <xf numFmtId="37" fontId="23" fillId="0" borderId="45" xfId="0" applyNumberFormat="1" applyFont="1" applyBorder="1" applyProtection="1"/>
    <xf numFmtId="37" fontId="23" fillId="0" borderId="0" xfId="0" applyNumberFormat="1" applyFont="1" applyBorder="1" applyProtection="1">
      <protection locked="0"/>
    </xf>
    <xf numFmtId="37" fontId="26" fillId="0" borderId="0" xfId="0" applyNumberFormat="1" applyFont="1" applyBorder="1" applyAlignment="1" applyProtection="1">
      <alignment horizontal="right"/>
      <protection locked="0"/>
    </xf>
    <xf numFmtId="37" fontId="23" fillId="0" borderId="0" xfId="0" applyNumberFormat="1" applyFont="1" applyBorder="1" applyAlignment="1" applyProtection="1">
      <alignment horizontal="right"/>
      <protection locked="0"/>
    </xf>
    <xf numFmtId="37" fontId="26" fillId="0" borderId="0" xfId="0" applyNumberFormat="1" applyFont="1" applyBorder="1" applyProtection="1"/>
    <xf numFmtId="5" fontId="20" fillId="0" borderId="0" xfId="0" applyNumberFormat="1" applyFont="1" applyBorder="1" applyProtection="1"/>
    <xf numFmtId="5" fontId="22" fillId="0" borderId="0" xfId="0" applyNumberFormat="1" applyFont="1" applyBorder="1" applyProtection="1"/>
    <xf numFmtId="5" fontId="21" fillId="0" borderId="0" xfId="0" applyFont="1" applyBorder="1" applyProtection="1"/>
    <xf numFmtId="5" fontId="22" fillId="0" borderId="0" xfId="0" applyFont="1" applyBorder="1" applyProtection="1"/>
    <xf numFmtId="5" fontId="24" fillId="0" borderId="0" xfId="0" applyFont="1" applyBorder="1" applyProtection="1"/>
    <xf numFmtId="7" fontId="20" fillId="0" borderId="0" xfId="0" applyNumberFormat="1" applyFont="1" applyBorder="1" applyProtection="1"/>
    <xf numFmtId="7" fontId="22" fillId="0" borderId="0" xfId="0" applyNumberFormat="1" applyFont="1" applyBorder="1" applyProtection="1"/>
    <xf numFmtId="7" fontId="22" fillId="0" borderId="45" xfId="0" applyNumberFormat="1" applyFont="1" applyBorder="1" applyProtection="1"/>
    <xf numFmtId="7" fontId="22" fillId="0" borderId="0" xfId="0" applyNumberFormat="1" applyFont="1" applyBorder="1" applyAlignment="1" applyProtection="1">
      <alignment horizontal="left"/>
    </xf>
    <xf numFmtId="5" fontId="22" fillId="0" borderId="46" xfId="0" applyFont="1" applyBorder="1"/>
    <xf numFmtId="171" fontId="23" fillId="0" borderId="0" xfId="0" applyNumberFormat="1" applyFont="1" applyBorder="1" applyProtection="1">
      <protection locked="0"/>
    </xf>
    <xf numFmtId="7" fontId="22" fillId="0" borderId="47" xfId="0" applyNumberFormat="1" applyFont="1" applyBorder="1" applyProtection="1"/>
    <xf numFmtId="5" fontId="19" fillId="0" borderId="0" xfId="0" applyFont="1"/>
    <xf numFmtId="0" fontId="18" fillId="0" borderId="0" xfId="0" applyNumberFormat="1" applyFont="1" applyAlignment="1">
      <alignment horizontal="center"/>
    </xf>
    <xf numFmtId="5" fontId="18" fillId="0" borderId="0" xfId="0" applyFont="1"/>
    <xf numFmtId="0" fontId="19" fillId="0" borderId="0" xfId="0" applyNumberFormat="1" applyFont="1" applyAlignment="1">
      <alignment horizontal="center"/>
    </xf>
    <xf numFmtId="5" fontId="19" fillId="0" borderId="0" xfId="0" applyFont="1" applyAlignment="1">
      <alignment horizontal="center"/>
    </xf>
    <xf numFmtId="5" fontId="29" fillId="0" borderId="0" xfId="0" applyNumberFormat="1" applyFont="1" applyAlignment="1">
      <alignment horizontal="center"/>
    </xf>
    <xf numFmtId="5" fontId="19" fillId="0" borderId="0" xfId="0" applyFont="1" applyAlignment="1"/>
    <xf numFmtId="5" fontId="29" fillId="0" borderId="0" xfId="0" applyFont="1" applyAlignment="1">
      <alignment horizontal="center"/>
    </xf>
    <xf numFmtId="5" fontId="29" fillId="0" borderId="0" xfId="0" applyFont="1" applyAlignment="1">
      <alignment horizontal="center"/>
    </xf>
    <xf numFmtId="0" fontId="35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/>
    </xf>
    <xf numFmtId="0" fontId="18" fillId="0" borderId="48" xfId="0" applyNumberFormat="1" applyFont="1" applyBorder="1" applyAlignment="1">
      <alignment horizontal="center" vertical="center"/>
    </xf>
    <xf numFmtId="0" fontId="18" fillId="0" borderId="47" xfId="0" applyNumberFormat="1" applyFont="1" applyBorder="1" applyAlignment="1">
      <alignment horizontal="center" vertical="center"/>
    </xf>
    <xf numFmtId="5" fontId="18" fillId="0" borderId="10" xfId="0" applyFont="1" applyBorder="1" applyAlignment="1">
      <alignment horizontal="center"/>
    </xf>
    <xf numFmtId="5" fontId="18" fillId="0" borderId="10" xfId="0" applyFont="1" applyBorder="1" applyAlignment="1">
      <alignment horizontal="center" vertical="center"/>
    </xf>
    <xf numFmtId="5" fontId="18" fillId="0" borderId="15" xfId="0" applyFont="1" applyBorder="1" applyAlignment="1">
      <alignment horizontal="center" vertical="center"/>
    </xf>
    <xf numFmtId="5" fontId="18" fillId="0" borderId="12" xfId="0" applyFont="1" applyBorder="1" applyAlignment="1">
      <alignment horizontal="center" vertical="center"/>
    </xf>
    <xf numFmtId="5" fontId="18" fillId="0" borderId="17" xfId="0" applyFont="1" applyBorder="1" applyAlignment="1">
      <alignment horizontal="center" vertical="center"/>
    </xf>
    <xf numFmtId="5" fontId="18" fillId="0" borderId="12" xfId="0" applyFont="1" applyBorder="1" applyAlignment="1">
      <alignment horizontal="center"/>
    </xf>
    <xf numFmtId="5" fontId="19" fillId="0" borderId="10" xfId="0" applyFont="1" applyBorder="1" applyAlignment="1">
      <alignment horizontal="center" vertical="center"/>
    </xf>
    <xf numFmtId="5" fontId="19" fillId="0" borderId="15" xfId="0" applyFont="1" applyBorder="1" applyAlignment="1">
      <alignment horizontal="center" vertical="center"/>
    </xf>
    <xf numFmtId="5" fontId="19" fillId="0" borderId="12" xfId="0" applyFont="1" applyBorder="1" applyAlignment="1">
      <alignment horizontal="center" vertical="center"/>
    </xf>
    <xf numFmtId="5" fontId="19" fillId="0" borderId="17" xfId="0" applyFont="1" applyBorder="1" applyAlignment="1">
      <alignment horizontal="center" vertical="center"/>
    </xf>
    <xf numFmtId="5" fontId="19" fillId="0" borderId="48" xfId="0" applyFont="1" applyBorder="1" applyAlignment="1">
      <alignment horizontal="center" vertical="center"/>
    </xf>
    <xf numFmtId="0" fontId="19" fillId="0" borderId="48" xfId="0" applyNumberFormat="1" applyFont="1" applyBorder="1" applyAlignment="1">
      <alignment horizontal="center" vertical="center"/>
    </xf>
    <xf numFmtId="0" fontId="19" fillId="0" borderId="47" xfId="0" applyNumberFormat="1" applyFont="1" applyBorder="1" applyAlignment="1">
      <alignment horizontal="center" vertical="center"/>
    </xf>
    <xf numFmtId="5" fontId="19" fillId="0" borderId="10" xfId="0" applyFont="1" applyBorder="1" applyAlignment="1">
      <alignment horizontal="center"/>
    </xf>
    <xf numFmtId="5" fontId="19" fillId="0" borderId="12" xfId="0" applyFont="1" applyBorder="1" applyAlignment="1">
      <alignment horizontal="center"/>
    </xf>
    <xf numFmtId="5" fontId="19" fillId="0" borderId="48" xfId="0" applyFont="1" applyBorder="1" applyAlignment="1">
      <alignment horizontal="center"/>
    </xf>
    <xf numFmtId="5" fontId="18" fillId="0" borderId="15" xfId="0" applyFont="1" applyBorder="1" applyAlignment="1">
      <alignment horizontal="center"/>
    </xf>
    <xf numFmtId="5" fontId="18" fillId="0" borderId="17" xfId="0" applyFont="1" applyBorder="1" applyAlignment="1">
      <alignment horizontal="center"/>
    </xf>
    <xf numFmtId="5" fontId="19" fillId="0" borderId="45" xfId="0" applyFont="1" applyBorder="1" applyAlignment="1">
      <alignment horizontal="center" vertical="center"/>
    </xf>
    <xf numFmtId="5" fontId="19" fillId="0" borderId="47" xfId="0" applyFont="1" applyBorder="1" applyAlignment="1">
      <alignment horizontal="center" vertical="center"/>
    </xf>
    <xf numFmtId="5" fontId="19" fillId="0" borderId="15" xfId="0" applyFont="1" applyBorder="1" applyAlignment="1">
      <alignment horizontal="center"/>
    </xf>
    <xf numFmtId="5" fontId="19" fillId="0" borderId="17" xfId="0" applyFont="1" applyBorder="1" applyAlignment="1">
      <alignment horizontal="center"/>
    </xf>
    <xf numFmtId="5" fontId="19" fillId="0" borderId="47" xfId="0" applyFont="1" applyBorder="1" applyAlignment="1">
      <alignment horizontal="center"/>
    </xf>
    <xf numFmtId="0" fontId="18" fillId="0" borderId="48" xfId="0" applyNumberFormat="1" applyFont="1" applyBorder="1" applyAlignment="1">
      <alignment horizontal="center"/>
    </xf>
    <xf numFmtId="5" fontId="18" fillId="0" borderId="10" xfId="0" applyFont="1" applyBorder="1"/>
    <xf numFmtId="5" fontId="18" fillId="0" borderId="12" xfId="0" applyFont="1" applyBorder="1"/>
    <xf numFmtId="5" fontId="19" fillId="0" borderId="11" xfId="0" applyFont="1" applyBorder="1"/>
    <xf numFmtId="5" fontId="19" fillId="0" borderId="12" xfId="0" applyFont="1" applyBorder="1"/>
    <xf numFmtId="5" fontId="19" fillId="0" borderId="48" xfId="0" applyFont="1" applyBorder="1"/>
    <xf numFmtId="5" fontId="19" fillId="0" borderId="33" xfId="0" applyFont="1" applyBorder="1"/>
    <xf numFmtId="0" fontId="19" fillId="0" borderId="48" xfId="0" applyNumberFormat="1" applyFont="1" applyBorder="1" applyAlignment="1">
      <alignment horizontal="center"/>
    </xf>
    <xf numFmtId="5" fontId="19" fillId="0" borderId="10" xfId="0" applyFont="1" applyBorder="1"/>
    <xf numFmtId="0" fontId="18" fillId="0" borderId="45" xfId="0" applyNumberFormat="1" applyFont="1" applyBorder="1" applyAlignment="1">
      <alignment horizontal="center"/>
    </xf>
    <xf numFmtId="5" fontId="18" fillId="0" borderId="13" xfId="0" applyFont="1" applyBorder="1"/>
    <xf numFmtId="5" fontId="18" fillId="0" borderId="14" xfId="0" applyFont="1" applyBorder="1"/>
    <xf numFmtId="5" fontId="19" fillId="0" borderId="0" xfId="0" applyFont="1" applyBorder="1"/>
    <xf numFmtId="5" fontId="19" fillId="0" borderId="14" xfId="0" applyFont="1" applyBorder="1"/>
    <xf numFmtId="5" fontId="19" fillId="0" borderId="45" xfId="0" applyFont="1" applyBorder="1"/>
    <xf numFmtId="0" fontId="19" fillId="0" borderId="45" xfId="0" applyNumberFormat="1" applyFont="1" applyBorder="1" applyAlignment="1">
      <alignment horizontal="center"/>
    </xf>
    <xf numFmtId="5" fontId="19" fillId="0" borderId="13" xfId="0" applyFont="1" applyBorder="1"/>
    <xf numFmtId="0" fontId="18" fillId="0" borderId="47" xfId="0" applyNumberFormat="1" applyFont="1" applyBorder="1" applyAlignment="1">
      <alignment horizontal="center"/>
    </xf>
    <xf numFmtId="5" fontId="18" fillId="0" borderId="15" xfId="0" applyFont="1" applyBorder="1"/>
    <xf numFmtId="5" fontId="18" fillId="0" borderId="17" xfId="0" applyFont="1" applyBorder="1"/>
    <xf numFmtId="5" fontId="19" fillId="0" borderId="16" xfId="0" applyFont="1" applyBorder="1"/>
    <xf numFmtId="5" fontId="19" fillId="0" borderId="17" xfId="0" applyFont="1" applyBorder="1"/>
    <xf numFmtId="5" fontId="19" fillId="0" borderId="47" xfId="0" applyFont="1" applyBorder="1"/>
    <xf numFmtId="0" fontId="19" fillId="0" borderId="47" xfId="0" applyNumberFormat="1" applyFont="1" applyBorder="1" applyAlignment="1">
      <alignment horizontal="center"/>
    </xf>
    <xf numFmtId="5" fontId="19" fillId="0" borderId="15" xfId="0" applyFont="1" applyBorder="1"/>
    <xf numFmtId="5" fontId="21" fillId="0" borderId="42" xfId="0" applyFont="1" applyBorder="1" applyAlignment="1" applyProtection="1">
      <alignment horizontal="center" vertical="center"/>
      <protection locked="0"/>
    </xf>
    <xf numFmtId="5" fontId="21" fillId="0" borderId="49" xfId="0" applyFont="1" applyBorder="1" applyAlignment="1" applyProtection="1">
      <alignment horizontal="center" vertical="center"/>
      <protection locked="0"/>
    </xf>
    <xf numFmtId="5" fontId="21" fillId="0" borderId="37" xfId="0" applyFont="1" applyBorder="1" applyAlignment="1" applyProtection="1">
      <alignment horizontal="center" vertical="center"/>
      <protection locked="0"/>
    </xf>
    <xf numFmtId="5" fontId="21" fillId="0" borderId="21" xfId="0" applyFont="1" applyBorder="1" applyAlignment="1" applyProtection="1">
      <alignment horizontal="center" vertical="center"/>
      <protection locked="0"/>
    </xf>
    <xf numFmtId="5" fontId="21" fillId="0" borderId="28" xfId="0" applyFont="1" applyBorder="1" applyAlignment="1" applyProtection="1">
      <alignment horizontal="center" vertical="center"/>
      <protection locked="0"/>
    </xf>
    <xf numFmtId="5" fontId="21" fillId="0" borderId="19" xfId="0" applyFont="1" applyBorder="1" applyAlignment="1" applyProtection="1">
      <alignment horizontal="center" vertical="center"/>
      <protection locked="0"/>
    </xf>
    <xf numFmtId="5" fontId="21" fillId="0" borderId="28" xfId="0" applyFont="1" applyBorder="1" applyAlignment="1">
      <alignment horizontal="center" vertical="center"/>
    </xf>
    <xf numFmtId="5" fontId="21" fillId="0" borderId="28" xfId="0" applyFont="1" applyBorder="1" applyAlignment="1">
      <alignment horizontal="center"/>
    </xf>
    <xf numFmtId="5" fontId="20" fillId="0" borderId="28" xfId="0" applyFont="1" applyBorder="1"/>
    <xf numFmtId="5" fontId="20" fillId="0" borderId="29" xfId="0" applyFont="1" applyBorder="1"/>
    <xf numFmtId="5" fontId="21" fillId="0" borderId="0" xfId="0" applyFont="1" applyBorder="1" applyAlignment="1">
      <alignment horizontal="center" vertical="center"/>
    </xf>
    <xf numFmtId="5" fontId="20" fillId="0" borderId="31" xfId="0" applyFont="1" applyBorder="1"/>
    <xf numFmtId="5" fontId="20" fillId="0" borderId="42" xfId="0" applyFont="1" applyBorder="1" applyAlignment="1" applyProtection="1">
      <alignment horizontal="left"/>
      <protection locked="0"/>
    </xf>
    <xf numFmtId="5" fontId="20" fillId="0" borderId="39" xfId="0" applyFont="1" applyBorder="1" applyAlignment="1" applyProtection="1">
      <alignment horizontal="left"/>
      <protection locked="0"/>
    </xf>
    <xf numFmtId="5" fontId="20" fillId="0" borderId="14" xfId="0" applyNumberFormat="1" applyFont="1" applyBorder="1" applyProtection="1">
      <protection locked="0"/>
    </xf>
    <xf numFmtId="5" fontId="20" fillId="0" borderId="40" xfId="0" applyFont="1" applyBorder="1" applyAlignment="1" applyProtection="1">
      <alignment horizontal="left"/>
      <protection locked="0"/>
    </xf>
    <xf numFmtId="5" fontId="20" fillId="0" borderId="41" xfId="0" applyNumberFormat="1" applyFont="1" applyBorder="1" applyProtection="1">
      <protection locked="0"/>
    </xf>
    <xf numFmtId="5" fontId="20" fillId="0" borderId="19" xfId="0" applyNumberFormat="1" applyFont="1" applyBorder="1" applyProtection="1">
      <protection locked="0"/>
    </xf>
    <xf numFmtId="5" fontId="20" fillId="0" borderId="50" xfId="0" applyFont="1" applyBorder="1" applyProtection="1">
      <protection locked="0"/>
    </xf>
    <xf numFmtId="5" fontId="20" fillId="0" borderId="39" xfId="0" applyNumberFormat="1" applyFont="1" applyBorder="1" applyAlignment="1" applyProtection="1">
      <alignment horizontal="center"/>
      <protection locked="0"/>
    </xf>
    <xf numFmtId="5" fontId="20" fillId="0" borderId="0" xfId="0" applyNumberFormat="1" applyFont="1" applyBorder="1" applyAlignment="1" applyProtection="1">
      <alignment horizontal="center"/>
      <protection locked="0"/>
    </xf>
    <xf numFmtId="5" fontId="20" fillId="0" borderId="31" xfId="0" applyNumberFormat="1" applyFont="1" applyBorder="1" applyAlignment="1" applyProtection="1">
      <alignment horizontal="center"/>
      <protection locked="0"/>
    </xf>
    <xf numFmtId="5" fontId="20" fillId="0" borderId="39" xfId="0" applyFont="1" applyBorder="1" applyAlignment="1" applyProtection="1">
      <alignment horizontal="center"/>
      <protection locked="0"/>
    </xf>
    <xf numFmtId="5" fontId="20" fillId="0" borderId="0" xfId="0" applyFont="1" applyBorder="1" applyAlignment="1" applyProtection="1">
      <alignment horizontal="center"/>
      <protection locked="0"/>
    </xf>
    <xf numFmtId="5" fontId="20" fillId="0" borderId="31" xfId="0" applyFont="1" applyBorder="1" applyAlignment="1" applyProtection="1">
      <alignment horizontal="center"/>
      <protection locked="0"/>
    </xf>
    <xf numFmtId="5" fontId="20" fillId="0" borderId="31" xfId="0" applyFont="1" applyBorder="1" applyAlignment="1" applyProtection="1">
      <protection locked="0"/>
    </xf>
    <xf numFmtId="5" fontId="20" fillId="0" borderId="39" xfId="0" applyNumberFormat="1" applyFont="1" applyBorder="1" applyProtection="1">
      <protection locked="0"/>
    </xf>
    <xf numFmtId="5" fontId="20" fillId="0" borderId="0" xfId="0" applyNumberFormat="1" applyFont="1" applyBorder="1" applyProtection="1">
      <protection locked="0"/>
    </xf>
    <xf numFmtId="5" fontId="20" fillId="0" borderId="25" xfId="0" applyNumberFormat="1" applyFont="1" applyBorder="1" applyProtection="1">
      <protection locked="0"/>
    </xf>
    <xf numFmtId="5" fontId="20" fillId="0" borderId="41" xfId="0" applyNumberFormat="1" applyFont="1" applyBorder="1" applyAlignment="1" applyProtection="1">
      <protection locked="0"/>
    </xf>
    <xf numFmtId="5" fontId="20" fillId="0" borderId="28" xfId="0" applyFont="1" applyBorder="1" applyAlignment="1" applyProtection="1">
      <alignment horizontal="left"/>
      <protection locked="0"/>
    </xf>
    <xf numFmtId="5" fontId="20" fillId="0" borderId="0" xfId="0" applyNumberFormat="1" applyFont="1" applyAlignment="1" applyProtection="1">
      <alignment horizontal="center"/>
      <protection locked="0"/>
    </xf>
    <xf numFmtId="5" fontId="20" fillId="0" borderId="0" xfId="0" applyFont="1" applyAlignment="1">
      <alignment horizontal="center"/>
    </xf>
    <xf numFmtId="5" fontId="20" fillId="0" borderId="30" xfId="0" applyFont="1" applyBorder="1" applyAlignment="1" applyProtection="1">
      <alignment horizontal="center" vertical="center"/>
      <protection locked="0"/>
    </xf>
    <xf numFmtId="5" fontId="20" fillId="0" borderId="52" xfId="0" applyFont="1" applyBorder="1" applyAlignment="1" applyProtection="1">
      <alignment horizontal="center" vertical="center"/>
      <protection locked="0"/>
    </xf>
    <xf numFmtId="5" fontId="20" fillId="0" borderId="30" xfId="0" applyFont="1" applyBorder="1" applyAlignment="1" applyProtection="1">
      <alignment horizontal="center"/>
      <protection locked="0"/>
    </xf>
    <xf numFmtId="5" fontId="20" fillId="0" borderId="52" xfId="0" applyFont="1" applyBorder="1" applyAlignment="1" applyProtection="1">
      <alignment horizontal="center"/>
      <protection locked="0"/>
    </xf>
    <xf numFmtId="5" fontId="20" fillId="0" borderId="51" xfId="0" applyNumberFormat="1" applyFont="1" applyBorder="1" applyAlignment="1" applyProtection="1">
      <alignment horizontal="center"/>
      <protection locked="0"/>
    </xf>
    <xf numFmtId="10" fontId="20" fillId="0" borderId="51" xfId="0" applyNumberFormat="1" applyFont="1" applyBorder="1" applyAlignment="1" applyProtection="1">
      <alignment horizontal="center"/>
      <protection locked="0"/>
    </xf>
    <xf numFmtId="169" fontId="26" fillId="0" borderId="53" xfId="0" applyNumberFormat="1" applyFont="1" applyBorder="1" applyAlignment="1">
      <alignment horizontal="center"/>
    </xf>
    <xf numFmtId="169" fontId="26" fillId="0" borderId="39" xfId="0" applyNumberFormat="1" applyFont="1" applyBorder="1" applyAlignment="1" applyProtection="1">
      <alignment horizontal="center"/>
      <protection locked="0"/>
    </xf>
    <xf numFmtId="5" fontId="20" fillId="0" borderId="20" xfId="0" applyNumberFormat="1" applyFont="1" applyBorder="1" applyAlignment="1" applyProtection="1">
      <alignment horizontal="center"/>
      <protection locked="0"/>
    </xf>
    <xf numFmtId="10" fontId="20" fillId="0" borderId="20" xfId="1" applyNumberFormat="1" applyFont="1" applyBorder="1" applyAlignment="1">
      <alignment horizontal="center"/>
    </xf>
    <xf numFmtId="170" fontId="20" fillId="0" borderId="0" xfId="0" applyNumberFormat="1" applyFont="1" applyProtection="1">
      <protection locked="0"/>
    </xf>
    <xf numFmtId="5" fontId="20" fillId="0" borderId="16" xfId="0" applyFont="1" applyBorder="1"/>
    <xf numFmtId="169" fontId="26" fillId="0" borderId="37" xfId="0" applyNumberFormat="1" applyFont="1" applyBorder="1" applyAlignment="1" applyProtection="1">
      <alignment horizontal="center"/>
      <protection locked="0"/>
    </xf>
    <xf numFmtId="5" fontId="20" fillId="0" borderId="54" xfId="0" applyNumberFormat="1" applyFont="1" applyBorder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Percent" xfId="1" builtinId="5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1"/>
  <sheetViews>
    <sheetView topLeftCell="A39" workbookViewId="0">
      <selection activeCell="A57" sqref="A57:XFD57"/>
    </sheetView>
  </sheetViews>
  <sheetFormatPr defaultRowHeight="15" customHeight="1"/>
  <cols>
    <col min="1" max="1" width="0.28515625" style="1" customWidth="1"/>
    <col min="2" max="2" width="1.7109375" style="2" customWidth="1"/>
    <col min="3" max="3" width="2.7109375" style="2" customWidth="1"/>
    <col min="4" max="4" width="32" style="2" bestFit="1" customWidth="1"/>
    <col min="5" max="5" width="1.5703125" style="2" customWidth="1"/>
    <col min="6" max="6" width="14.42578125" style="3" customWidth="1"/>
    <col min="7" max="7" width="9.7109375" style="3" customWidth="1"/>
    <col min="8" max="8" width="2.140625" style="1" customWidth="1"/>
    <col min="9" max="16384" width="9.140625" style="1"/>
  </cols>
  <sheetData>
    <row r="1" spans="2:7" ht="15" hidden="1" customHeight="1"/>
    <row r="2" spans="2:7" ht="1.5" customHeight="1"/>
    <row r="3" spans="2:7" ht="15" customHeight="1">
      <c r="B3" s="4" t="s">
        <v>0</v>
      </c>
      <c r="C3" s="5"/>
      <c r="D3" s="5"/>
      <c r="E3" s="6"/>
      <c r="F3" s="7"/>
      <c r="G3" s="8"/>
    </row>
    <row r="4" spans="2:7" ht="15" customHeight="1">
      <c r="B4" s="9" t="s">
        <v>1</v>
      </c>
      <c r="C4" s="10"/>
      <c r="D4" s="10"/>
      <c r="E4" s="10"/>
      <c r="F4" s="11" t="s">
        <v>2</v>
      </c>
      <c r="G4" s="12"/>
    </row>
    <row r="5" spans="2:7" ht="15" customHeight="1">
      <c r="B5" s="9" t="s">
        <v>3</v>
      </c>
      <c r="C5" s="10"/>
      <c r="D5" s="10"/>
      <c r="E5" s="13"/>
      <c r="F5" s="11"/>
      <c r="G5" s="12"/>
    </row>
    <row r="6" spans="2:7" ht="15" customHeight="1">
      <c r="B6" s="14"/>
      <c r="C6" s="10"/>
      <c r="D6" s="10"/>
      <c r="E6" s="10"/>
      <c r="F6" s="11"/>
      <c r="G6" s="12"/>
    </row>
    <row r="7" spans="2:7" ht="15" hidden="1" customHeight="1">
      <c r="B7" s="14"/>
      <c r="C7" s="10"/>
      <c r="D7" s="10"/>
      <c r="E7" s="10"/>
      <c r="F7" s="11"/>
      <c r="G7" s="12"/>
    </row>
    <row r="8" spans="2:7" ht="15" hidden="1" customHeight="1">
      <c r="B8" s="14"/>
      <c r="C8" s="10"/>
      <c r="D8" s="10"/>
      <c r="E8" s="10"/>
      <c r="F8" s="11"/>
      <c r="G8" s="12"/>
    </row>
    <row r="9" spans="2:7" ht="15" customHeight="1">
      <c r="B9" s="15"/>
      <c r="C9" s="16"/>
      <c r="D9" s="16"/>
      <c r="E9" s="16"/>
      <c r="F9" s="17"/>
      <c r="G9" s="18"/>
    </row>
    <row r="10" spans="2:7" ht="15" customHeight="1">
      <c r="B10" s="19"/>
      <c r="C10" s="20"/>
      <c r="D10" s="20"/>
      <c r="E10" s="20"/>
      <c r="F10" s="21" t="s">
        <v>4</v>
      </c>
      <c r="G10" s="22" t="s">
        <v>5</v>
      </c>
    </row>
    <row r="11" spans="2:7" ht="15" customHeight="1">
      <c r="B11" s="23"/>
      <c r="C11" s="10"/>
      <c r="D11" s="10"/>
      <c r="E11" s="10"/>
      <c r="F11" s="11"/>
      <c r="G11" s="24"/>
    </row>
    <row r="12" spans="2:7" ht="15" customHeight="1">
      <c r="B12" s="23"/>
      <c r="C12" s="25" t="s">
        <v>6</v>
      </c>
      <c r="D12" s="10"/>
      <c r="E12" s="10"/>
      <c r="F12" s="26"/>
      <c r="G12" s="27" t="str">
        <f>IF(F12&gt;0, F12/$F$12, " ")</f>
        <v xml:space="preserve"> </v>
      </c>
    </row>
    <row r="13" spans="2:7" ht="15" customHeight="1">
      <c r="B13" s="23"/>
      <c r="C13" s="25"/>
      <c r="D13" s="10" t="s">
        <v>7</v>
      </c>
      <c r="E13" s="10"/>
      <c r="F13" s="28">
        <v>100000</v>
      </c>
      <c r="G13" s="27"/>
    </row>
    <row r="14" spans="2:7" ht="15" customHeight="1">
      <c r="B14" s="23"/>
      <c r="C14" s="25" t="s">
        <v>8</v>
      </c>
      <c r="D14" s="10"/>
      <c r="E14" s="10"/>
      <c r="F14" s="28"/>
      <c r="G14" s="27"/>
    </row>
    <row r="15" spans="2:7" ht="15" customHeight="1">
      <c r="B15" s="23"/>
      <c r="C15" s="25"/>
      <c r="D15" s="10" t="s">
        <v>9</v>
      </c>
      <c r="E15" s="10"/>
      <c r="F15" s="28">
        <v>20000</v>
      </c>
      <c r="G15" s="27">
        <f t="shared" ref="G15:G20" si="0">F15/F$13</f>
        <v>0.2</v>
      </c>
    </row>
    <row r="16" spans="2:7" ht="15" customHeight="1">
      <c r="B16" s="23"/>
      <c r="C16" s="25"/>
      <c r="D16" s="10" t="s">
        <v>10</v>
      </c>
      <c r="E16" s="10"/>
      <c r="F16" s="28">
        <v>20000</v>
      </c>
      <c r="G16" s="27">
        <f t="shared" si="0"/>
        <v>0.2</v>
      </c>
    </row>
    <row r="17" spans="2:7" ht="15" customHeight="1">
      <c r="B17" s="23"/>
      <c r="C17" s="25"/>
      <c r="D17" s="10" t="s">
        <v>11</v>
      </c>
      <c r="E17" s="10"/>
      <c r="F17" s="28">
        <v>5000</v>
      </c>
      <c r="G17" s="27">
        <f t="shared" si="0"/>
        <v>0.05</v>
      </c>
    </row>
    <row r="18" spans="2:7" ht="15" customHeight="1">
      <c r="B18" s="23"/>
      <c r="C18" s="25"/>
      <c r="D18" s="10" t="s">
        <v>12</v>
      </c>
      <c r="E18" s="10"/>
      <c r="F18" s="28">
        <v>1500</v>
      </c>
      <c r="G18" s="27">
        <f t="shared" si="0"/>
        <v>1.4999999999999999E-2</v>
      </c>
    </row>
    <row r="19" spans="2:7" ht="15" customHeight="1">
      <c r="B19" s="23"/>
      <c r="C19" s="25"/>
      <c r="D19" s="10" t="s">
        <v>13</v>
      </c>
      <c r="E19" s="10"/>
      <c r="F19" s="28">
        <v>10000</v>
      </c>
      <c r="G19" s="27">
        <f t="shared" si="0"/>
        <v>0.1</v>
      </c>
    </row>
    <row r="20" spans="2:7" ht="15" customHeight="1">
      <c r="B20" s="23"/>
      <c r="C20" s="10"/>
      <c r="D20" s="10" t="s">
        <v>14</v>
      </c>
      <c r="E20" s="10"/>
      <c r="F20" s="29">
        <f>SUM(F15:F19)</f>
        <v>56500</v>
      </c>
      <c r="G20" s="27">
        <f t="shared" si="0"/>
        <v>0.56499999999999995</v>
      </c>
    </row>
    <row r="21" spans="2:7" ht="15" customHeight="1">
      <c r="B21" s="23"/>
      <c r="C21" s="1"/>
      <c r="D21" s="10"/>
      <c r="E21" s="10"/>
      <c r="F21" s="28"/>
      <c r="G21" s="27" t="str">
        <f>IF(F12&gt;0, F21/$F$12, "")</f>
        <v/>
      </c>
    </row>
    <row r="22" spans="2:7" ht="15" customHeight="1">
      <c r="B22" s="30"/>
      <c r="C22" s="31" t="s">
        <v>15</v>
      </c>
      <c r="D22" s="32"/>
      <c r="E22" s="32"/>
      <c r="F22" s="33">
        <f>F13-F20</f>
        <v>43500</v>
      </c>
      <c r="G22" s="34">
        <f>F22/F13</f>
        <v>0.435</v>
      </c>
    </row>
    <row r="23" spans="2:7" ht="15" customHeight="1">
      <c r="B23" s="35"/>
      <c r="C23" s="36"/>
      <c r="D23" s="36"/>
      <c r="E23" s="37"/>
      <c r="F23" s="38" t="s">
        <v>16</v>
      </c>
      <c r="G23" s="27"/>
    </row>
    <row r="24" spans="2:7" ht="15" customHeight="1">
      <c r="B24" s="23"/>
      <c r="C24" s="25" t="s">
        <v>17</v>
      </c>
      <c r="D24" s="10"/>
      <c r="E24" s="39">
        <v>0</v>
      </c>
      <c r="F24" s="40"/>
      <c r="G24" s="27"/>
    </row>
    <row r="25" spans="2:7" ht="15" customHeight="1">
      <c r="B25" s="23"/>
      <c r="C25" s="41"/>
      <c r="D25" s="42" t="s">
        <v>18</v>
      </c>
      <c r="E25" s="43">
        <f>IF(E$24=1,1,0)</f>
        <v>0</v>
      </c>
      <c r="F25" s="44">
        <v>200</v>
      </c>
      <c r="G25" s="27">
        <f t="shared" ref="G25:G58" si="1">F25/F$13</f>
        <v>2E-3</v>
      </c>
    </row>
    <row r="26" spans="2:7" ht="15" customHeight="1">
      <c r="B26" s="23"/>
      <c r="C26" s="41"/>
      <c r="D26" s="42" t="s">
        <v>19</v>
      </c>
      <c r="E26" s="43">
        <f>IF(E$24=1,1,0)</f>
        <v>0</v>
      </c>
      <c r="F26" s="44">
        <v>200</v>
      </c>
      <c r="G26" s="27">
        <f t="shared" si="1"/>
        <v>2E-3</v>
      </c>
    </row>
    <row r="27" spans="2:7" ht="15" customHeight="1">
      <c r="B27" s="23"/>
      <c r="C27" s="41"/>
      <c r="D27" s="42" t="s">
        <v>20</v>
      </c>
      <c r="E27" s="43">
        <f>IF(E$24=1,1,0)</f>
        <v>0</v>
      </c>
      <c r="F27" s="44">
        <v>650</v>
      </c>
      <c r="G27" s="27">
        <f t="shared" si="1"/>
        <v>6.4999999999999997E-3</v>
      </c>
    </row>
    <row r="28" spans="2:7" ht="15" customHeight="1">
      <c r="B28" s="23"/>
      <c r="C28" s="41"/>
      <c r="D28" s="42" t="s">
        <v>21</v>
      </c>
      <c r="E28" s="43">
        <f>IF(E$24=1,1,0)</f>
        <v>0</v>
      </c>
      <c r="F28" s="44">
        <v>500</v>
      </c>
      <c r="G28" s="27">
        <f t="shared" si="1"/>
        <v>5.0000000000000001E-3</v>
      </c>
    </row>
    <row r="29" spans="2:7" ht="15" customHeight="1">
      <c r="B29" s="23"/>
      <c r="C29" s="41"/>
      <c r="D29" s="42" t="s">
        <v>22</v>
      </c>
      <c r="E29" s="39">
        <f>IF(E$24=1,1,0)</f>
        <v>0</v>
      </c>
      <c r="F29" s="44">
        <v>800</v>
      </c>
      <c r="G29" s="27">
        <f t="shared" si="1"/>
        <v>8.0000000000000002E-3</v>
      </c>
    </row>
    <row r="30" spans="2:7" ht="15" customHeight="1">
      <c r="B30" s="23"/>
      <c r="C30" s="41"/>
      <c r="D30" s="42" t="s">
        <v>23</v>
      </c>
      <c r="E30" s="39"/>
      <c r="F30" s="44">
        <v>1200</v>
      </c>
      <c r="G30" s="27">
        <f t="shared" si="1"/>
        <v>1.2E-2</v>
      </c>
    </row>
    <row r="31" spans="2:7" ht="15" customHeight="1">
      <c r="B31" s="23"/>
      <c r="C31" s="41"/>
      <c r="D31" s="42" t="s">
        <v>24</v>
      </c>
      <c r="E31" s="43">
        <f t="shared" ref="E31:E36" si="2">IF(E$24=1,1,0)</f>
        <v>0</v>
      </c>
      <c r="F31" s="44">
        <v>1500</v>
      </c>
      <c r="G31" s="27">
        <f t="shared" si="1"/>
        <v>1.4999999999999999E-2</v>
      </c>
    </row>
    <row r="32" spans="2:7" ht="15" customHeight="1">
      <c r="B32" s="23"/>
      <c r="C32" s="41"/>
      <c r="D32" s="42" t="s">
        <v>25</v>
      </c>
      <c r="E32" s="43">
        <f t="shared" si="2"/>
        <v>0</v>
      </c>
      <c r="F32" s="44">
        <v>3200</v>
      </c>
      <c r="G32" s="27">
        <f t="shared" si="1"/>
        <v>3.2000000000000001E-2</v>
      </c>
    </row>
    <row r="33" spans="2:7" ht="15" customHeight="1">
      <c r="B33" s="23"/>
      <c r="C33" s="41"/>
      <c r="D33" s="42" t="s">
        <v>26</v>
      </c>
      <c r="E33" s="43">
        <f t="shared" si="2"/>
        <v>0</v>
      </c>
      <c r="F33" s="44">
        <v>700</v>
      </c>
      <c r="G33" s="27">
        <f t="shared" si="1"/>
        <v>7.0000000000000001E-3</v>
      </c>
    </row>
    <row r="34" spans="2:7" ht="15" customHeight="1">
      <c r="B34" s="23"/>
      <c r="C34" s="41"/>
      <c r="D34" s="42" t="s">
        <v>27</v>
      </c>
      <c r="E34" s="43">
        <f t="shared" si="2"/>
        <v>0</v>
      </c>
      <c r="F34" s="44">
        <v>250</v>
      </c>
      <c r="G34" s="27">
        <f t="shared" si="1"/>
        <v>2.5000000000000001E-3</v>
      </c>
    </row>
    <row r="35" spans="2:7" ht="15" customHeight="1">
      <c r="B35" s="14"/>
      <c r="C35" s="41"/>
      <c r="D35" s="42" t="s">
        <v>28</v>
      </c>
      <c r="E35" s="43">
        <f t="shared" si="2"/>
        <v>0</v>
      </c>
      <c r="F35" s="44">
        <v>1000</v>
      </c>
      <c r="G35" s="27">
        <f t="shared" si="1"/>
        <v>0.01</v>
      </c>
    </row>
    <row r="36" spans="2:7" ht="15" customHeight="1">
      <c r="B36" s="14"/>
      <c r="C36" s="41"/>
      <c r="D36" s="42" t="s">
        <v>29</v>
      </c>
      <c r="E36" s="43">
        <f t="shared" si="2"/>
        <v>0</v>
      </c>
      <c r="F36" s="44">
        <v>8000</v>
      </c>
      <c r="G36" s="27">
        <f t="shared" si="1"/>
        <v>0.08</v>
      </c>
    </row>
    <row r="37" spans="2:7" ht="15" customHeight="1">
      <c r="B37" s="14"/>
      <c r="C37" s="41"/>
      <c r="D37" s="42" t="s">
        <v>30</v>
      </c>
      <c r="E37" s="43"/>
      <c r="F37" s="44">
        <v>250</v>
      </c>
      <c r="G37" s="27">
        <f t="shared" si="1"/>
        <v>2.5000000000000001E-3</v>
      </c>
    </row>
    <row r="38" spans="2:7" ht="15" customHeight="1">
      <c r="B38" s="14"/>
      <c r="C38" s="41"/>
      <c r="D38" s="42" t="s">
        <v>31</v>
      </c>
      <c r="E38" s="43">
        <f>IF(E$24=1,1,0)</f>
        <v>0</v>
      </c>
      <c r="F38" s="44">
        <v>350</v>
      </c>
      <c r="G38" s="27">
        <f t="shared" si="1"/>
        <v>3.5000000000000001E-3</v>
      </c>
    </row>
    <row r="39" spans="2:7" ht="15" customHeight="1">
      <c r="B39" s="14"/>
      <c r="C39" s="41"/>
      <c r="D39" s="42" t="s">
        <v>32</v>
      </c>
      <c r="E39" s="43">
        <f>IF(E$24=1,1,0)</f>
        <v>0</v>
      </c>
      <c r="F39" s="44">
        <v>1200</v>
      </c>
      <c r="G39" s="27">
        <f t="shared" si="1"/>
        <v>1.2E-2</v>
      </c>
    </row>
    <row r="40" spans="2:7" ht="15" customHeight="1">
      <c r="B40" s="14"/>
      <c r="C40" s="41"/>
      <c r="D40" s="42" t="s">
        <v>33</v>
      </c>
      <c r="E40" s="43">
        <f>IF(E$24=1,1,0)</f>
        <v>0</v>
      </c>
      <c r="F40" s="44">
        <v>2400</v>
      </c>
      <c r="G40" s="27">
        <f t="shared" si="1"/>
        <v>2.4E-2</v>
      </c>
    </row>
    <row r="41" spans="2:7" ht="15" customHeight="1">
      <c r="B41" s="14"/>
      <c r="C41" s="41"/>
      <c r="D41" s="42" t="s">
        <v>34</v>
      </c>
      <c r="E41" s="43">
        <f>IF(E$24=1,1,0)</f>
        <v>0</v>
      </c>
      <c r="F41" s="44">
        <v>10000</v>
      </c>
      <c r="G41" s="27">
        <f t="shared" si="1"/>
        <v>0.1</v>
      </c>
    </row>
    <row r="42" spans="2:7" ht="15" customHeight="1">
      <c r="B42" s="14"/>
      <c r="C42" s="41"/>
      <c r="D42" s="42" t="s">
        <v>35</v>
      </c>
      <c r="E42" s="43">
        <f>IF(E$24=1,1,0)</f>
        <v>0</v>
      </c>
      <c r="F42" s="44">
        <v>2000</v>
      </c>
      <c r="G42" s="27">
        <f t="shared" si="1"/>
        <v>0.02</v>
      </c>
    </row>
    <row r="43" spans="2:7" ht="15" customHeight="1">
      <c r="B43" s="23"/>
      <c r="C43" s="41"/>
      <c r="D43" s="42" t="s">
        <v>36</v>
      </c>
      <c r="E43" s="43"/>
      <c r="F43" s="44">
        <v>25</v>
      </c>
      <c r="G43" s="27">
        <f t="shared" si="1"/>
        <v>2.5000000000000001E-4</v>
      </c>
    </row>
    <row r="44" spans="2:7" ht="15" customHeight="1">
      <c r="B44" s="23"/>
      <c r="C44" s="41"/>
      <c r="D44" s="42" t="s">
        <v>37</v>
      </c>
      <c r="E44" s="43"/>
      <c r="F44" s="44">
        <v>2000</v>
      </c>
      <c r="G44" s="27">
        <f t="shared" si="1"/>
        <v>0.02</v>
      </c>
    </row>
    <row r="45" spans="2:7" ht="15" customHeight="1">
      <c r="B45" s="23"/>
      <c r="C45" s="41"/>
      <c r="D45" s="42" t="s">
        <v>38</v>
      </c>
      <c r="E45" s="43"/>
      <c r="F45" s="44">
        <v>550</v>
      </c>
      <c r="G45" s="27">
        <f t="shared" si="1"/>
        <v>5.4999999999999997E-3</v>
      </c>
    </row>
    <row r="46" spans="2:7" ht="15" customHeight="1">
      <c r="B46" s="23"/>
      <c r="C46" s="41"/>
      <c r="D46" s="42" t="s">
        <v>39</v>
      </c>
      <c r="E46" s="43"/>
      <c r="F46" s="44">
        <v>150</v>
      </c>
      <c r="G46" s="27">
        <f t="shared" si="1"/>
        <v>1.5E-3</v>
      </c>
    </row>
    <row r="47" spans="2:7" ht="15" customHeight="1">
      <c r="B47" s="23"/>
      <c r="C47" s="41"/>
      <c r="D47" s="42" t="s">
        <v>40</v>
      </c>
      <c r="E47" s="43"/>
      <c r="F47" s="44">
        <v>500</v>
      </c>
      <c r="G47" s="27">
        <f t="shared" si="1"/>
        <v>5.0000000000000001E-3</v>
      </c>
    </row>
    <row r="48" spans="2:7" ht="15" customHeight="1">
      <c r="B48" s="23"/>
      <c r="C48" s="41"/>
      <c r="D48" s="42" t="s">
        <v>41</v>
      </c>
      <c r="E48" s="43"/>
      <c r="F48" s="44">
        <v>75</v>
      </c>
      <c r="G48" s="27">
        <f t="shared" si="1"/>
        <v>7.5000000000000002E-4</v>
      </c>
    </row>
    <row r="49" spans="2:7" ht="15" customHeight="1">
      <c r="B49" s="23"/>
      <c r="C49" s="41"/>
      <c r="D49" s="42" t="s">
        <v>42</v>
      </c>
      <c r="E49" s="43"/>
      <c r="F49" s="44">
        <v>0</v>
      </c>
      <c r="G49" s="27">
        <f t="shared" si="1"/>
        <v>0</v>
      </c>
    </row>
    <row r="50" spans="2:7" ht="15" customHeight="1">
      <c r="B50" s="23"/>
      <c r="C50" s="41"/>
      <c r="D50" s="42" t="s">
        <v>42</v>
      </c>
      <c r="E50" s="43"/>
      <c r="F50" s="44">
        <v>0</v>
      </c>
      <c r="G50" s="27">
        <f t="shared" si="1"/>
        <v>0</v>
      </c>
    </row>
    <row r="51" spans="2:7" ht="15" customHeight="1">
      <c r="B51" s="23"/>
      <c r="C51" s="41"/>
      <c r="D51" s="42" t="s">
        <v>42</v>
      </c>
      <c r="E51" s="43"/>
      <c r="F51" s="44">
        <v>0</v>
      </c>
      <c r="G51" s="27">
        <f t="shared" si="1"/>
        <v>0</v>
      </c>
    </row>
    <row r="52" spans="2:7" ht="15" customHeight="1">
      <c r="B52" s="23"/>
      <c r="C52" s="41"/>
      <c r="D52" s="42" t="s">
        <v>42</v>
      </c>
      <c r="E52" s="43"/>
      <c r="F52" s="44">
        <v>0</v>
      </c>
      <c r="G52" s="27">
        <f t="shared" si="1"/>
        <v>0</v>
      </c>
    </row>
    <row r="53" spans="2:7" ht="15" customHeight="1">
      <c r="B53" s="23"/>
      <c r="C53" s="41"/>
      <c r="D53" s="42" t="s">
        <v>43</v>
      </c>
      <c r="E53" s="43"/>
      <c r="F53" s="44">
        <f>SUM(Am!C7:C18)</f>
        <v>1196.9820915690216</v>
      </c>
      <c r="G53" s="27">
        <f t="shared" si="1"/>
        <v>1.1969820915690215E-2</v>
      </c>
    </row>
    <row r="54" spans="2:7" ht="15" customHeight="1">
      <c r="B54" s="14"/>
      <c r="C54" s="41"/>
      <c r="D54" s="25" t="s">
        <v>44</v>
      </c>
      <c r="E54" s="43"/>
      <c r="F54" s="44">
        <v>0</v>
      </c>
      <c r="G54" s="27">
        <f t="shared" si="1"/>
        <v>0</v>
      </c>
    </row>
    <row r="55" spans="2:7" ht="15" customHeight="1">
      <c r="B55" s="23"/>
      <c r="C55" s="41"/>
      <c r="D55" s="25" t="s">
        <v>45</v>
      </c>
      <c r="E55" s="43"/>
      <c r="F55" s="44">
        <v>1000</v>
      </c>
      <c r="G55" s="27">
        <f t="shared" si="1"/>
        <v>0.01</v>
      </c>
    </row>
    <row r="56" spans="2:7" ht="15" customHeight="1">
      <c r="B56" s="23"/>
      <c r="C56" s="41"/>
      <c r="D56" s="25" t="s">
        <v>46</v>
      </c>
      <c r="E56" s="43"/>
      <c r="F56" s="44">
        <v>0</v>
      </c>
      <c r="G56" s="27">
        <f t="shared" si="1"/>
        <v>0</v>
      </c>
    </row>
    <row r="57" spans="2:7" ht="15" hidden="1" customHeight="1">
      <c r="B57" s="23"/>
      <c r="C57" s="10"/>
      <c r="D57" s="45" t="s">
        <v>47</v>
      </c>
      <c r="E57" s="39">
        <f>IF(E$24=1,1,0)</f>
        <v>0</v>
      </c>
      <c r="F57" s="46">
        <v>0</v>
      </c>
      <c r="G57" s="27">
        <f t="shared" si="1"/>
        <v>0</v>
      </c>
    </row>
    <row r="58" spans="2:7" ht="15" customHeight="1">
      <c r="B58" s="47"/>
      <c r="C58" s="48" t="s">
        <v>48</v>
      </c>
      <c r="D58" s="49"/>
      <c r="E58" s="49"/>
      <c r="F58" s="50">
        <f>SUM(F25:F56)</f>
        <v>39896.982091569022</v>
      </c>
      <c r="G58" s="27">
        <f t="shared" si="1"/>
        <v>0.39896982091569022</v>
      </c>
    </row>
    <row r="59" spans="2:7" ht="15" customHeight="1">
      <c r="B59" s="23"/>
      <c r="C59" s="10"/>
      <c r="D59" s="10"/>
      <c r="E59" s="10"/>
      <c r="F59" s="28"/>
      <c r="G59" s="24"/>
    </row>
    <row r="60" spans="2:7" ht="15" customHeight="1">
      <c r="B60" s="51"/>
      <c r="C60" s="52" t="s">
        <v>49</v>
      </c>
      <c r="D60" s="53"/>
      <c r="E60" s="53"/>
      <c r="F60" s="54">
        <f>F22-F58</f>
        <v>3603.0179084309784</v>
      </c>
      <c r="G60" s="27">
        <f>F60/F$13</f>
        <v>3.6030179084309784E-2</v>
      </c>
    </row>
    <row r="61" spans="2:7" ht="40.5" customHeight="1">
      <c r="F61" s="55"/>
      <c r="G61" s="56"/>
    </row>
  </sheetData>
  <printOptions horizontalCentered="1" verticalCentered="1"/>
  <pageMargins left="0.5" right="0.25" top="0.35" bottom="0.36" header="0" footer="0.21"/>
  <pageSetup scale="60" orientation="landscape" horizontalDpi="4294967292" verticalDpi="200"/>
  <headerFooter>
    <oddFooter xml:space="preserve">&amp;L&amp;"Arial,Regular"&amp;6                                        This template was created by the South Dakota SBDC and is authorized for use by the organization listed above.&amp;R&amp;"Arial MT,Bold"&amp;8&amp;D     &amp;T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topLeftCell="A40" workbookViewId="0">
      <selection activeCell="G64" sqref="G64"/>
    </sheetView>
  </sheetViews>
  <sheetFormatPr defaultRowHeight="15" customHeight="1"/>
  <cols>
    <col min="1" max="1" width="0.28515625" style="57" customWidth="1"/>
    <col min="2" max="2" width="1.7109375" style="58" customWidth="1"/>
    <col min="3" max="3" width="2.7109375" style="58" customWidth="1"/>
    <col min="4" max="4" width="24.28515625" style="58" customWidth="1"/>
    <col min="5" max="5" width="6" style="58" customWidth="1"/>
    <col min="6" max="6" width="1.7109375" style="58" customWidth="1"/>
    <col min="7" max="7" width="13.28515625" style="58" customWidth="1"/>
    <col min="8" max="8" width="0.28515625" style="57" customWidth="1"/>
    <col min="9" max="9" width="9.28515625" style="57" bestFit="1" customWidth="1"/>
    <col min="10" max="16384" width="9.140625" style="57"/>
  </cols>
  <sheetData>
    <row r="1" spans="2:8" ht="1.5" customHeight="1"/>
    <row r="2" spans="2:8" ht="15" customHeight="1">
      <c r="B2" s="59" t="str">
        <f>'Inc1'!B3</f>
        <v xml:space="preserve"> 客户名称：</v>
      </c>
      <c r="C2" s="5"/>
      <c r="D2" s="5"/>
      <c r="E2" s="5"/>
      <c r="F2" s="5"/>
      <c r="G2" s="60"/>
      <c r="H2" s="1"/>
    </row>
    <row r="3" spans="2:8" ht="15" customHeight="1">
      <c r="B3" s="14" t="str">
        <f>'Inc1'!B4</f>
        <v xml:space="preserve"> 财务报告表： </v>
      </c>
      <c r="C3" s="10"/>
      <c r="D3" s="10"/>
      <c r="E3" s="10"/>
      <c r="F3" s="10"/>
      <c r="G3" s="61"/>
      <c r="H3" s="1"/>
    </row>
    <row r="4" spans="2:8" ht="15" customHeight="1">
      <c r="B4" s="14" t="str">
        <f>'Inc1'!B5</f>
        <v xml:space="preserve"> 编制日期</v>
      </c>
      <c r="C4" s="10"/>
      <c r="D4" s="10"/>
      <c r="E4" s="10"/>
      <c r="F4" s="10"/>
      <c r="G4" s="61"/>
      <c r="H4" s="1"/>
    </row>
    <row r="5" spans="2:8" ht="15" customHeight="1">
      <c r="B5" s="14"/>
      <c r="C5" s="10"/>
      <c r="D5" s="10"/>
      <c r="E5" s="10"/>
      <c r="F5" s="10"/>
      <c r="G5" s="61"/>
      <c r="H5" s="1"/>
    </row>
    <row r="6" spans="2:8" ht="15" customHeight="1">
      <c r="B6" s="15"/>
      <c r="C6" s="16"/>
      <c r="D6" s="16"/>
      <c r="E6" s="16"/>
      <c r="F6" s="16"/>
      <c r="G6" s="62"/>
      <c r="H6" s="1"/>
    </row>
    <row r="7" spans="2:8" ht="15" customHeight="1">
      <c r="B7" s="63"/>
      <c r="C7" s="64" t="s">
        <v>50</v>
      </c>
      <c r="D7" s="20"/>
      <c r="E7" s="20"/>
      <c r="F7" s="20"/>
      <c r="G7" s="65" t="s">
        <v>51</v>
      </c>
      <c r="H7" s="1"/>
    </row>
    <row r="8" spans="2:8" ht="15" customHeight="1">
      <c r="B8" s="66"/>
      <c r="C8" s="67" t="s">
        <v>52</v>
      </c>
      <c r="D8" s="2"/>
      <c r="E8" s="2"/>
      <c r="F8" s="2"/>
      <c r="G8" s="68"/>
      <c r="H8" s="1"/>
    </row>
    <row r="9" spans="2:8" ht="15" customHeight="1">
      <c r="B9" s="66"/>
      <c r="C9" s="2"/>
      <c r="D9" s="67" t="s">
        <v>53</v>
      </c>
      <c r="E9" s="2"/>
      <c r="F9" s="2"/>
      <c r="G9" s="43">
        <f>'Inc1'!F13</f>
        <v>100000</v>
      </c>
      <c r="H9" s="1"/>
    </row>
    <row r="10" spans="2:8" ht="15" customHeight="1">
      <c r="B10" s="66"/>
      <c r="C10" s="2"/>
      <c r="D10" s="67" t="s">
        <v>54</v>
      </c>
      <c r="E10" s="2"/>
      <c r="F10" s="2"/>
      <c r="G10" s="43">
        <v>0</v>
      </c>
      <c r="H10" s="1"/>
    </row>
    <row r="11" spans="2:8" ht="15" customHeight="1">
      <c r="B11" s="66"/>
      <c r="C11" s="2"/>
      <c r="D11" s="67" t="s">
        <v>55</v>
      </c>
      <c r="E11" s="2"/>
      <c r="F11" s="2"/>
      <c r="G11" s="69">
        <v>0</v>
      </c>
      <c r="H11" s="1"/>
    </row>
    <row r="12" spans="2:8" ht="15" customHeight="1">
      <c r="B12" s="66"/>
      <c r="C12" s="2"/>
      <c r="D12" s="67" t="s">
        <v>56</v>
      </c>
      <c r="E12" s="2"/>
      <c r="F12" s="2"/>
      <c r="G12" s="69">
        <v>0</v>
      </c>
      <c r="H12" s="1"/>
    </row>
    <row r="13" spans="2:8" ht="15" customHeight="1">
      <c r="B13" s="66"/>
      <c r="C13" s="2"/>
      <c r="D13" s="67" t="s">
        <v>57</v>
      </c>
      <c r="E13" s="2"/>
      <c r="F13" s="2"/>
      <c r="G13" s="69">
        <v>0</v>
      </c>
      <c r="H13" s="1"/>
    </row>
    <row r="14" spans="2:8" ht="15" customHeight="1">
      <c r="B14" s="70"/>
      <c r="C14" s="31" t="s">
        <v>58</v>
      </c>
      <c r="D14" s="32"/>
      <c r="E14" s="32"/>
      <c r="F14" s="32"/>
      <c r="G14" s="71">
        <f>SUM(G9:G13)</f>
        <v>100000</v>
      </c>
      <c r="H14" s="1"/>
    </row>
    <row r="15" spans="2:8" ht="15" customHeight="1">
      <c r="B15" s="66"/>
      <c r="C15" s="2"/>
      <c r="D15" s="2"/>
      <c r="E15" s="2"/>
      <c r="F15" s="43"/>
      <c r="G15" s="72"/>
      <c r="H15" s="1"/>
    </row>
    <row r="16" spans="2:8" ht="15" customHeight="1">
      <c r="B16" s="66"/>
      <c r="C16" s="67" t="s">
        <v>59</v>
      </c>
      <c r="D16" s="2"/>
      <c r="E16" s="2"/>
      <c r="F16" s="43"/>
      <c r="G16" s="73"/>
      <c r="H16" s="1"/>
    </row>
    <row r="17" spans="2:8" ht="15" customHeight="1">
      <c r="B17" s="66"/>
      <c r="C17" s="2"/>
      <c r="D17" s="67" t="s">
        <v>8</v>
      </c>
      <c r="E17" s="2"/>
      <c r="F17" s="43"/>
      <c r="G17" s="74">
        <f>'Inc1'!F20</f>
        <v>56500</v>
      </c>
      <c r="H17" s="1"/>
    </row>
    <row r="18" spans="2:8" ht="15" customHeight="1">
      <c r="B18" s="66"/>
      <c r="C18" s="2"/>
      <c r="D18" s="75" t="str">
        <f>'Inc1'!D25</f>
        <v>广告费用</v>
      </c>
      <c r="E18" s="2"/>
      <c r="F18" s="43"/>
      <c r="G18" s="74">
        <f>'Inc1'!F25</f>
        <v>200</v>
      </c>
      <c r="H18" s="1"/>
    </row>
    <row r="19" spans="2:8" ht="15" customHeight="1">
      <c r="B19" s="66"/>
      <c r="C19" s="2"/>
      <c r="D19" s="75" t="str">
        <f>'Inc1'!D26</f>
        <v>营业执照和费用</v>
      </c>
      <c r="E19" s="2"/>
      <c r="F19" s="43"/>
      <c r="G19" s="74">
        <f>'Inc1'!F26</f>
        <v>200</v>
      </c>
      <c r="H19" s="1"/>
    </row>
    <row r="20" spans="2:8" ht="15" customHeight="1">
      <c r="B20" s="66"/>
      <c r="C20" s="2"/>
      <c r="D20" s="75" t="str">
        <f>'Inc1'!D27</f>
        <v>车辆费用</v>
      </c>
      <c r="E20" s="2"/>
      <c r="F20" s="43"/>
      <c r="G20" s="74">
        <f>'Inc1'!F27</f>
        <v>650</v>
      </c>
      <c r="H20" s="1"/>
    </row>
    <row r="21" spans="2:8" ht="15" customHeight="1">
      <c r="B21" s="66"/>
      <c r="C21" s="2"/>
      <c r="D21" s="75" t="str">
        <f>'Inc1'!D28</f>
        <v>会费和订阅</v>
      </c>
      <c r="E21" s="2"/>
      <c r="F21" s="43"/>
      <c r="G21" s="74">
        <f>'Inc1'!F28</f>
        <v>500</v>
      </c>
      <c r="H21" s="1"/>
    </row>
    <row r="22" spans="2:8" ht="15" customHeight="1">
      <c r="B22" s="66"/>
      <c r="C22" s="2"/>
      <c r="D22" s="75" t="str">
        <f>'Inc1'!D29</f>
        <v>保险</v>
      </c>
      <c r="E22" s="2"/>
      <c r="F22" s="43"/>
      <c r="G22" s="74">
        <f>'Inc1'!F29</f>
        <v>800</v>
      </c>
      <c r="H22" s="1"/>
    </row>
    <row r="23" spans="2:8" ht="15" customHeight="1">
      <c r="B23" s="66"/>
      <c r="C23" s="2"/>
      <c r="D23" s="75" t="str">
        <f>'Inc1'!D30</f>
        <v>维修和保养</v>
      </c>
      <c r="E23" s="2"/>
      <c r="F23" s="43"/>
      <c r="G23" s="74">
        <f>'Inc1'!F30</f>
        <v>1200</v>
      </c>
      <c r="H23" s="1"/>
    </row>
    <row r="24" spans="2:8" ht="15" customHeight="1">
      <c r="B24" s="66"/>
      <c r="C24" s="2"/>
      <c r="D24" s="75" t="str">
        <f>'Inc1'!D31</f>
        <v>营销费用</v>
      </c>
      <c r="E24" s="2"/>
      <c r="F24" s="43"/>
      <c r="G24" s="74">
        <f>'Inc1'!F31</f>
        <v>1500</v>
      </c>
      <c r="H24" s="1"/>
    </row>
    <row r="25" spans="2:8" ht="15" customHeight="1">
      <c r="B25" s="66"/>
      <c r="C25" s="2"/>
      <c r="D25" s="75" t="str">
        <f>'Inc1'!D32</f>
        <v>餐饮和娱乐</v>
      </c>
      <c r="E25" s="2"/>
      <c r="F25" s="43"/>
      <c r="G25" s="74">
        <f>'Inc1'!F32</f>
        <v>3200</v>
      </c>
      <c r="H25" s="1"/>
    </row>
    <row r="26" spans="2:8" ht="15" customHeight="1">
      <c r="B26" s="66"/>
      <c r="C26" s="2"/>
      <c r="D26" s="75" t="str">
        <f>'Inc1'!D33</f>
        <v>办公用品</v>
      </c>
      <c r="E26" s="2"/>
      <c r="F26" s="43"/>
      <c r="G26" s="74">
        <f>'Inc1'!F33</f>
        <v>700</v>
      </c>
      <c r="H26" s="1"/>
    </row>
    <row r="27" spans="2:8" ht="15" customHeight="1">
      <c r="B27" s="66"/>
      <c r="C27" s="2"/>
      <c r="D27" s="75" t="str">
        <f>'Inc1'!D34</f>
        <v>邮资</v>
      </c>
      <c r="E27" s="2"/>
      <c r="F27" s="43"/>
      <c r="G27" s="74">
        <f>'Inc1'!F34</f>
        <v>250</v>
      </c>
      <c r="H27" s="1"/>
    </row>
    <row r="28" spans="2:8" ht="15" customHeight="1">
      <c r="B28" s="66"/>
      <c r="C28" s="2"/>
      <c r="D28" s="75" t="str">
        <f>'Inc1'!D35</f>
        <v>专业费用</v>
      </c>
      <c r="E28" s="2"/>
      <c r="F28" s="43"/>
      <c r="G28" s="74">
        <f>'Inc1'!F35</f>
        <v>1000</v>
      </c>
      <c r="H28" s="1"/>
    </row>
    <row r="29" spans="2:8" ht="15" customHeight="1">
      <c r="B29" s="66"/>
      <c r="C29" s="2"/>
      <c r="D29" s="75" t="str">
        <f>'Inc1'!D36</f>
        <v>租金</v>
      </c>
      <c r="E29" s="2"/>
      <c r="F29" s="43"/>
      <c r="G29" s="74">
        <f>'Inc1'!F36</f>
        <v>8000</v>
      </c>
      <c r="H29" s="1"/>
    </row>
    <row r="30" spans="2:8" ht="15" customHeight="1">
      <c r="B30" s="66"/>
      <c r="C30" s="2"/>
      <c r="D30" s="75" t="str">
        <f>'Inc1'!D37</f>
        <v>设备租金</v>
      </c>
      <c r="E30" s="2"/>
      <c r="F30" s="43"/>
      <c r="G30" s="74">
        <f>'Inc1'!F37</f>
        <v>250</v>
      </c>
      <c r="H30" s="1"/>
    </row>
    <row r="31" spans="2:8" ht="15" customHeight="1">
      <c r="B31" s="66"/>
      <c r="C31" s="2"/>
      <c r="D31" s="75" t="str">
        <f>'Inc1'!D38</f>
        <v>耗材</v>
      </c>
      <c r="E31" s="2"/>
      <c r="F31" s="43"/>
      <c r="G31" s="74">
        <f>'Inc1'!F38</f>
        <v>350</v>
      </c>
      <c r="H31" s="1"/>
    </row>
    <row r="32" spans="2:8" ht="15" customHeight="1">
      <c r="B32" s="66"/>
      <c r="C32" s="2"/>
      <c r="D32" s="75" t="str">
        <f>'Inc1'!D39</f>
        <v>电话</v>
      </c>
      <c r="E32" s="2"/>
      <c r="F32" s="43"/>
      <c r="G32" s="74">
        <f>'Inc1'!F39</f>
        <v>1200</v>
      </c>
      <c r="H32" s="1"/>
    </row>
    <row r="33" spans="2:8" ht="15" customHeight="1">
      <c r="B33" s="66"/>
      <c r="C33" s="2"/>
      <c r="D33" s="75" t="str">
        <f>'Inc1'!D40</f>
        <v>公用事业</v>
      </c>
      <c r="E33" s="2"/>
      <c r="F33" s="43"/>
      <c r="G33" s="74">
        <f>'Inc1'!F40</f>
        <v>2400</v>
      </c>
      <c r="H33" s="1"/>
    </row>
    <row r="34" spans="2:8" ht="15" customHeight="1">
      <c r="B34" s="66"/>
      <c r="C34" s="2"/>
      <c r="D34" s="75" t="str">
        <f>'Inc1'!D41</f>
        <v>行政工资</v>
      </c>
      <c r="E34" s="2"/>
      <c r="F34" s="43"/>
      <c r="G34" s="74">
        <f>'Inc1'!F41</f>
        <v>10000</v>
      </c>
      <c r="H34" s="1"/>
    </row>
    <row r="35" spans="2:8" ht="15" customHeight="1">
      <c r="B35" s="66"/>
      <c r="C35" s="2"/>
      <c r="D35" s="75" t="str">
        <f>'Inc1'!D42</f>
        <v>员工福利</v>
      </c>
      <c r="E35" s="2"/>
      <c r="F35" s="43"/>
      <c r="G35" s="74">
        <f>'Inc1'!F42</f>
        <v>2000</v>
      </c>
      <c r="H35" s="1"/>
    </row>
    <row r="36" spans="2:8" ht="15" customHeight="1">
      <c r="B36" s="66"/>
      <c r="C36" s="2"/>
      <c r="D36" s="75" t="str">
        <f>'Inc1'!D43</f>
        <v>银行费用</v>
      </c>
      <c r="E36" s="2"/>
      <c r="F36" s="43"/>
      <c r="G36" s="74">
        <f>'Inc1'!F43</f>
        <v>25</v>
      </c>
      <c r="H36" s="1"/>
    </row>
    <row r="37" spans="2:8" ht="15" customHeight="1">
      <c r="B37" s="66"/>
      <c r="C37" s="2"/>
      <c r="D37" s="75" t="str">
        <f>'Inc1'!D44</f>
        <v>供暖费用</v>
      </c>
      <c r="E37" s="2"/>
      <c r="F37" s="43"/>
      <c r="G37" s="74">
        <f>'Inc1'!F44</f>
        <v>2000</v>
      </c>
      <c r="H37" s="1"/>
    </row>
    <row r="38" spans="2:8" ht="15" customHeight="1">
      <c r="B38" s="66"/>
      <c r="C38" s="2"/>
      <c r="D38" s="75" t="str">
        <f>'Inc1'!D45</f>
        <v xml:space="preserve">工人补偿 </v>
      </c>
      <c r="E38" s="2"/>
      <c r="F38" s="43"/>
      <c r="G38" s="74">
        <f>'Inc1'!F45</f>
        <v>550</v>
      </c>
      <c r="H38" s="1"/>
    </row>
    <row r="39" spans="2:8" ht="15" customHeight="1">
      <c r="B39" s="66"/>
      <c r="C39" s="2"/>
      <c r="D39" s="75" t="str">
        <f>'Inc1'!D46</f>
        <v>捐献</v>
      </c>
      <c r="E39" s="2"/>
      <c r="F39" s="43"/>
      <c r="G39" s="74">
        <f>'Inc1'!F46</f>
        <v>150</v>
      </c>
      <c r="H39" s="1"/>
    </row>
    <row r="40" spans="2:8" ht="15" customHeight="1">
      <c r="B40" s="66"/>
      <c r="C40" s="2"/>
      <c r="D40" s="75" t="str">
        <f>'Inc1'!D47</f>
        <v>培训和员工发展</v>
      </c>
      <c r="E40" s="2"/>
      <c r="F40" s="43"/>
      <c r="G40" s="74">
        <f>'Inc1'!F47</f>
        <v>500</v>
      </c>
      <c r="H40" s="1"/>
    </row>
    <row r="41" spans="2:8" ht="15" customHeight="1">
      <c r="B41" s="66"/>
      <c r="C41" s="2"/>
      <c r="D41" s="75" t="str">
        <f>'Inc1'!D48</f>
        <v>杂项</v>
      </c>
      <c r="E41" s="2"/>
      <c r="F41" s="43"/>
      <c r="G41" s="74">
        <f>'Inc1'!F48</f>
        <v>75</v>
      </c>
      <c r="H41" s="1"/>
    </row>
    <row r="42" spans="2:8" ht="15" customHeight="1">
      <c r="B42" s="66"/>
      <c r="C42" s="2"/>
      <c r="D42" s="75" t="str">
        <f>'Inc1'!D49</f>
        <v>（开放）</v>
      </c>
      <c r="E42" s="2"/>
      <c r="F42" s="43"/>
      <c r="G42" s="74">
        <f>'Inc1'!F49</f>
        <v>0</v>
      </c>
      <c r="H42" s="1"/>
    </row>
    <row r="43" spans="2:8" ht="15" customHeight="1">
      <c r="B43" s="66"/>
      <c r="C43" s="2"/>
      <c r="D43" s="75" t="str">
        <f>'Inc1'!D50</f>
        <v>（开放）</v>
      </c>
      <c r="E43" s="2"/>
      <c r="F43" s="43"/>
      <c r="G43" s="74">
        <f>'Inc1'!F50</f>
        <v>0</v>
      </c>
      <c r="H43" s="1"/>
    </row>
    <row r="44" spans="2:8" ht="15" customHeight="1">
      <c r="B44" s="66"/>
      <c r="C44" s="2"/>
      <c r="D44" s="75" t="str">
        <f>'Inc1'!D51</f>
        <v>（开放）</v>
      </c>
      <c r="E44" s="2"/>
      <c r="F44" s="43"/>
      <c r="G44" s="74">
        <f>'Inc1'!F51</f>
        <v>0</v>
      </c>
      <c r="H44" s="1"/>
    </row>
    <row r="45" spans="2:8" ht="15" customHeight="1">
      <c r="B45" s="66"/>
      <c r="C45" s="2"/>
      <c r="D45" s="75" t="str">
        <f>'Inc1'!D52</f>
        <v>（开放）</v>
      </c>
      <c r="E45" s="2"/>
      <c r="F45" s="43"/>
      <c r="G45" s="74">
        <f>'Inc1'!F52</f>
        <v>0</v>
      </c>
      <c r="H45" s="1"/>
    </row>
    <row r="46" spans="2:8" ht="15" customHeight="1">
      <c r="B46" s="66"/>
      <c r="C46" s="2"/>
      <c r="D46" s="75" t="str">
        <f>'Inc1'!D53</f>
        <v>内部-贷款1</v>
      </c>
      <c r="E46" s="2"/>
      <c r="F46" s="43"/>
      <c r="G46" s="74">
        <f>'Inc1'!F53</f>
        <v>1196.9820915690216</v>
      </c>
      <c r="H46" s="1"/>
    </row>
    <row r="47" spans="2:8" ht="15" customHeight="1">
      <c r="B47" s="66"/>
      <c r="C47" s="2"/>
      <c r="D47" s="75" t="e">
        <f>'Inc1'!#REF!</f>
        <v>#REF!</v>
      </c>
      <c r="E47" s="2"/>
      <c r="F47" s="43"/>
      <c r="G47" s="74">
        <f>'Inc1'!F54</f>
        <v>0</v>
      </c>
      <c r="H47" s="1"/>
    </row>
    <row r="48" spans="2:8" ht="15" customHeight="1">
      <c r="B48" s="66"/>
      <c r="C48" s="2"/>
      <c r="D48" s="75" t="e">
        <f>'Inc1'!#REF!</f>
        <v>#REF!</v>
      </c>
      <c r="E48" s="2"/>
      <c r="F48" s="43"/>
      <c r="G48" s="74">
        <f>'Inc1'!F55</f>
        <v>1000</v>
      </c>
      <c r="H48" s="1"/>
    </row>
    <row r="49" spans="2:8" ht="15" customHeight="1">
      <c r="B49" s="66"/>
      <c r="C49" s="2"/>
      <c r="D49" s="75" t="e">
        <f>'Inc1'!#REF!</f>
        <v>#REF!</v>
      </c>
      <c r="E49" s="2"/>
      <c r="F49" s="43"/>
      <c r="G49" s="74">
        <f>'Inc1'!F56</f>
        <v>0</v>
      </c>
      <c r="H49" s="1"/>
    </row>
    <row r="50" spans="2:8" ht="15" customHeight="1">
      <c r="B50" s="66"/>
      <c r="C50" s="2"/>
      <c r="D50" s="75" t="str">
        <f>'Inc1'!D54</f>
        <v>内部-信用额度</v>
      </c>
      <c r="E50" s="2"/>
      <c r="F50" s="43"/>
      <c r="G50" s="74">
        <v>0</v>
      </c>
      <c r="H50" s="1"/>
    </row>
    <row r="51" spans="2:8" s="76" customFormat="1" ht="15" hidden="1" customHeight="1">
      <c r="B51" s="77"/>
      <c r="C51" s="78"/>
      <c r="D51" s="79" t="s">
        <v>60</v>
      </c>
      <c r="E51" s="78"/>
      <c r="F51" s="80"/>
      <c r="G51" s="81" t="e">
        <f>SUM(#REF!)</f>
        <v>#REF!</v>
      </c>
      <c r="H51" s="82"/>
    </row>
    <row r="52" spans="2:8" s="76" customFormat="1" ht="15" hidden="1" customHeight="1">
      <c r="B52" s="77"/>
      <c r="C52" s="78"/>
      <c r="D52" s="79" t="s">
        <v>60</v>
      </c>
      <c r="E52" s="78"/>
      <c r="F52" s="80"/>
      <c r="G52" s="81" t="e">
        <f>SUM(#REF!)</f>
        <v>#REF!</v>
      </c>
      <c r="H52" s="82"/>
    </row>
    <row r="53" spans="2:8" s="76" customFormat="1" ht="15" hidden="1" customHeight="1">
      <c r="B53" s="77"/>
      <c r="C53" s="78"/>
      <c r="D53" s="79" t="s">
        <v>60</v>
      </c>
      <c r="E53" s="78"/>
      <c r="F53" s="80"/>
      <c r="G53" s="81" t="e">
        <f>SUM(#REF!)</f>
        <v>#REF!</v>
      </c>
      <c r="H53" s="82"/>
    </row>
    <row r="54" spans="2:8" ht="15" customHeight="1">
      <c r="B54" s="70"/>
      <c r="C54" s="32"/>
      <c r="D54" s="31" t="s">
        <v>61</v>
      </c>
      <c r="E54" s="32"/>
      <c r="F54" s="32"/>
      <c r="G54" s="71">
        <f>SUM(G17:G50)</f>
        <v>96396.982091569022</v>
      </c>
      <c r="H54" s="1"/>
    </row>
    <row r="55" spans="2:8" ht="15" customHeight="1">
      <c r="B55" s="83"/>
      <c r="C55" s="2"/>
      <c r="D55" s="2"/>
      <c r="E55" s="2"/>
      <c r="F55" s="2"/>
      <c r="G55" s="43"/>
      <c r="H55" s="1"/>
    </row>
    <row r="56" spans="2:8" ht="15" customHeight="1">
      <c r="B56" s="66"/>
      <c r="C56" s="2"/>
      <c r="D56" s="67" t="s">
        <v>62</v>
      </c>
      <c r="E56" s="2"/>
      <c r="F56" s="2"/>
      <c r="G56" s="43">
        <f>SUM(Am!D7:D18)</f>
        <v>3498.8934809258294</v>
      </c>
      <c r="H56" s="1"/>
    </row>
    <row r="57" spans="2:8" ht="15" customHeight="1">
      <c r="B57" s="66"/>
      <c r="C57" s="2"/>
      <c r="D57" s="67" t="s">
        <v>63</v>
      </c>
      <c r="E57" s="2"/>
      <c r="F57" s="2"/>
      <c r="G57" s="43">
        <v>0</v>
      </c>
      <c r="H57" s="1"/>
    </row>
    <row r="58" spans="2:8" ht="15" customHeight="1">
      <c r="B58" s="66"/>
      <c r="C58" s="2"/>
      <c r="D58" s="67" t="s">
        <v>64</v>
      </c>
      <c r="E58" s="2"/>
      <c r="F58" s="2"/>
      <c r="G58" s="43">
        <v>0</v>
      </c>
      <c r="H58" s="1"/>
    </row>
    <row r="59" spans="2:8" ht="15" customHeight="1">
      <c r="B59" s="66"/>
      <c r="C59" s="2"/>
      <c r="D59" s="67" t="s">
        <v>65</v>
      </c>
      <c r="E59" s="84">
        <v>0</v>
      </c>
      <c r="F59" s="2"/>
      <c r="G59" s="69">
        <v>0</v>
      </c>
      <c r="H59" s="1"/>
    </row>
    <row r="60" spans="2:8" ht="15" customHeight="1">
      <c r="B60" s="66"/>
      <c r="C60" s="2"/>
      <c r="D60" s="67" t="s">
        <v>66</v>
      </c>
      <c r="E60" s="2"/>
      <c r="F60" s="2"/>
      <c r="G60" s="43">
        <v>0</v>
      </c>
      <c r="H60" s="1"/>
    </row>
    <row r="61" spans="2:8" ht="15" customHeight="1">
      <c r="B61" s="70"/>
      <c r="C61" s="32"/>
      <c r="D61" s="31" t="s">
        <v>67</v>
      </c>
      <c r="E61" s="32"/>
      <c r="F61" s="32"/>
      <c r="G61" s="85">
        <f>G54+SUM(G56:G60)</f>
        <v>99895.875572494857</v>
      </c>
      <c r="H61" s="1"/>
    </row>
    <row r="62" spans="2:8" ht="15" customHeight="1">
      <c r="B62" s="66"/>
      <c r="C62" s="2"/>
      <c r="D62" s="67" t="s">
        <v>68</v>
      </c>
      <c r="E62" s="2"/>
      <c r="F62" s="2"/>
      <c r="G62" s="86">
        <f>G14-G61</f>
        <v>104.1244275051431</v>
      </c>
      <c r="H62" s="87"/>
    </row>
    <row r="63" spans="2:8" ht="15" customHeight="1">
      <c r="B63" s="66"/>
      <c r="C63" s="2"/>
      <c r="D63" s="67" t="s">
        <v>69</v>
      </c>
      <c r="E63" s="2"/>
      <c r="F63" s="2"/>
      <c r="G63" s="88">
        <f>'BS1'!G9</f>
        <v>20000</v>
      </c>
      <c r="H63" s="87"/>
    </row>
    <row r="64" spans="2:8" ht="15" customHeight="1">
      <c r="B64" s="89"/>
      <c r="C64" s="90"/>
      <c r="D64" s="91" t="s">
        <v>70</v>
      </c>
      <c r="E64" s="90"/>
      <c r="F64" s="90"/>
      <c r="G64" s="92">
        <f>G63+G62</f>
        <v>20104.124427505143</v>
      </c>
      <c r="H64" s="87"/>
    </row>
    <row r="65" spans="2:8" ht="1.5" customHeight="1">
      <c r="B65" s="2"/>
      <c r="C65" s="2"/>
      <c r="D65" s="2"/>
      <c r="E65" s="2"/>
      <c r="F65" s="2"/>
      <c r="G65" s="93"/>
      <c r="H65" s="1"/>
    </row>
    <row r="66" spans="2:8" ht="15" customHeight="1">
      <c r="B66" s="2"/>
      <c r="C66" s="2"/>
      <c r="D66" s="2"/>
      <c r="E66" s="2"/>
      <c r="F66" s="2"/>
      <c r="G66" s="2"/>
      <c r="H66" s="1"/>
    </row>
    <row r="67" spans="2:8" ht="15" hidden="1" customHeight="1">
      <c r="B67" s="2"/>
      <c r="C67" s="2"/>
      <c r="D67" s="2"/>
      <c r="E67" s="2"/>
      <c r="F67" s="2"/>
      <c r="G67" s="2"/>
      <c r="H67" s="1"/>
    </row>
    <row r="68" spans="2:8" ht="15" customHeight="1">
      <c r="B68" s="2"/>
      <c r="C68" s="2"/>
      <c r="D68" s="2"/>
      <c r="E68" s="2"/>
      <c r="F68" s="2"/>
      <c r="G68" s="2"/>
      <c r="H68" s="1"/>
    </row>
    <row r="69" spans="2:8" ht="15" customHeight="1">
      <c r="B69" s="2"/>
      <c r="C69" s="2"/>
      <c r="D69" s="2"/>
      <c r="E69" s="2"/>
      <c r="F69" s="2"/>
      <c r="G69" s="2"/>
      <c r="H69" s="1"/>
    </row>
    <row r="70" spans="2:8" ht="15" customHeight="1">
      <c r="B70" s="2"/>
      <c r="C70" s="2"/>
      <c r="D70" s="2"/>
      <c r="E70" s="2"/>
      <c r="F70" s="2"/>
      <c r="G70" s="2"/>
      <c r="H70" s="1"/>
    </row>
    <row r="71" spans="2:8" ht="15" customHeight="1">
      <c r="B71" s="2"/>
      <c r="C71" s="2"/>
      <c r="D71" s="2"/>
      <c r="E71" s="2"/>
      <c r="F71" s="2"/>
      <c r="G71" s="2"/>
      <c r="H71" s="1"/>
    </row>
    <row r="72" spans="2:8" ht="15" customHeight="1">
      <c r="B72" s="2"/>
      <c r="C72" s="2"/>
      <c r="D72" s="2"/>
      <c r="E72" s="2"/>
      <c r="F72" s="2"/>
      <c r="G72" s="2"/>
      <c r="H72" s="1"/>
    </row>
    <row r="73" spans="2:8" ht="15" customHeight="1">
      <c r="B73" s="2"/>
      <c r="C73" s="2"/>
      <c r="D73" s="2"/>
      <c r="E73" s="2"/>
      <c r="F73" s="2"/>
      <c r="G73" s="2"/>
      <c r="H73" s="1"/>
    </row>
    <row r="74" spans="2:8" ht="15" customHeight="1">
      <c r="B74" s="2"/>
      <c r="C74" s="2"/>
      <c r="D74" s="2"/>
      <c r="E74" s="2"/>
      <c r="F74" s="2"/>
      <c r="G74" s="2"/>
      <c r="H74" s="1"/>
    </row>
    <row r="75" spans="2:8" ht="15" customHeight="1">
      <c r="B75" s="2"/>
      <c r="C75" s="2"/>
      <c r="D75" s="2"/>
      <c r="E75" s="2"/>
      <c r="F75" s="2"/>
      <c r="G75" s="2"/>
      <c r="H75" s="1"/>
    </row>
  </sheetData>
  <printOptions horizontalCentered="1" verticalCentered="1"/>
  <pageMargins left="0.5" right="0.25" top="0.28999999999999998" bottom="0.41" header="0" footer="0"/>
  <pageSetup scale="67" orientation="landscape" horizontalDpi="4294967292"/>
  <headerFooter>
    <oddFooter xml:space="preserve">&amp;L&amp;"Arial,Regular"&amp;6                                   This template was created by the South Dakota SBDC and is authorized for use by the organization listed above.&amp;R&amp;"Arial MT,Bold"&amp;8&amp;D     &amp;T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workbookViewId="0">
      <selection activeCell="H39" sqref="H39"/>
    </sheetView>
  </sheetViews>
  <sheetFormatPr defaultRowHeight="15" customHeight="1"/>
  <cols>
    <col min="1" max="1" width="0.85546875" style="57" customWidth="1"/>
    <col min="2" max="2" width="1.7109375" style="58" customWidth="1"/>
    <col min="3" max="3" width="2.7109375" style="58" customWidth="1"/>
    <col min="4" max="4" width="23.140625" style="58" customWidth="1"/>
    <col min="5" max="5" width="6" style="58" customWidth="1"/>
    <col min="6" max="6" width="1.5703125" style="58" customWidth="1"/>
    <col min="7" max="8" width="13.85546875" style="58" customWidth="1"/>
    <col min="9" max="9" width="0.28515625" style="57" customWidth="1"/>
    <col min="10" max="16384" width="9.140625" style="57"/>
  </cols>
  <sheetData>
    <row r="1" spans="2:9" ht="1.5" customHeight="1"/>
    <row r="2" spans="2:9" ht="15.75" customHeight="1">
      <c r="B2" s="94" t="str">
        <f>'Inc1'!B3</f>
        <v xml:space="preserve"> 客户名称：</v>
      </c>
      <c r="C2" s="36"/>
      <c r="D2" s="36"/>
      <c r="E2" s="36"/>
      <c r="F2" s="36"/>
      <c r="G2" s="95" t="str">
        <f>IF(ISTEXT('Inc1'!#REF!),+'Inc1'!#REF!," ")</f>
        <v xml:space="preserve"> </v>
      </c>
      <c r="H2" s="36"/>
      <c r="I2" s="96"/>
    </row>
    <row r="3" spans="2:9" ht="15.75" customHeight="1">
      <c r="B3" s="83" t="str">
        <f>'Inc1'!B4</f>
        <v xml:space="preserve"> 财务报告表： </v>
      </c>
      <c r="C3" s="2"/>
      <c r="D3" s="2"/>
      <c r="E3" s="2"/>
      <c r="F3" s="2"/>
      <c r="G3" s="97" t="s">
        <v>71</v>
      </c>
      <c r="H3" s="10"/>
      <c r="I3" s="96"/>
    </row>
    <row r="4" spans="2:9" ht="15" customHeight="1">
      <c r="B4" s="83" t="str">
        <f>'Inc1'!B5</f>
        <v xml:space="preserve"> 编制日期</v>
      </c>
      <c r="C4" s="2"/>
      <c r="D4" s="2"/>
      <c r="E4" s="2"/>
      <c r="F4" s="2"/>
      <c r="G4" s="98" t="e">
        <f>'Inc1'!#REF!</f>
        <v>#REF!</v>
      </c>
      <c r="H4" s="10"/>
      <c r="I4" s="96"/>
    </row>
    <row r="5" spans="2:9" ht="15" customHeight="1">
      <c r="B5" s="83"/>
      <c r="C5" s="2"/>
      <c r="D5" s="2"/>
      <c r="E5" s="2"/>
      <c r="F5" s="2"/>
      <c r="G5" s="10"/>
      <c r="H5" s="10"/>
      <c r="I5" s="96"/>
    </row>
    <row r="6" spans="2:9" ht="15" customHeight="1">
      <c r="B6" s="83"/>
      <c r="C6" s="2"/>
      <c r="D6" s="2"/>
      <c r="E6" s="2"/>
      <c r="F6" s="2"/>
      <c r="G6" s="2"/>
      <c r="H6" s="10"/>
      <c r="I6" s="96"/>
    </row>
    <row r="7" spans="2:9" ht="15" customHeight="1">
      <c r="B7" s="99" t="s">
        <v>72</v>
      </c>
      <c r="C7" s="32"/>
      <c r="D7" s="32"/>
      <c r="E7" s="32"/>
      <c r="F7" s="32"/>
      <c r="G7" s="100" t="s">
        <v>73</v>
      </c>
      <c r="H7" s="101" t="s">
        <v>4</v>
      </c>
      <c r="I7" s="96"/>
    </row>
    <row r="8" spans="2:9" ht="15" customHeight="1">
      <c r="B8" s="83"/>
      <c r="C8" s="2"/>
      <c r="D8" s="2"/>
      <c r="E8" s="2"/>
      <c r="F8" s="2"/>
      <c r="G8" s="83"/>
      <c r="H8" s="36"/>
      <c r="I8" s="96"/>
    </row>
    <row r="9" spans="2:9" ht="15" customHeight="1">
      <c r="B9" s="83"/>
      <c r="C9" s="67" t="s">
        <v>74</v>
      </c>
      <c r="D9" s="2"/>
      <c r="E9" s="2"/>
      <c r="F9" s="2"/>
      <c r="G9" s="83">
        <v>20000</v>
      </c>
      <c r="H9" s="10">
        <f>'CF1'!G64</f>
        <v>20104.124427505143</v>
      </c>
      <c r="I9" s="96"/>
    </row>
    <row r="10" spans="2:9" ht="15" customHeight="1">
      <c r="B10" s="83"/>
      <c r="C10" s="67" t="s">
        <v>75</v>
      </c>
      <c r="D10" s="2"/>
      <c r="E10" s="2"/>
      <c r="F10" s="2"/>
      <c r="G10" s="83">
        <v>10000</v>
      </c>
      <c r="H10" s="10">
        <v>10000</v>
      </c>
      <c r="I10" s="96"/>
    </row>
    <row r="11" spans="2:9" ht="15" customHeight="1">
      <c r="B11" s="83"/>
      <c r="C11" s="67" t="s">
        <v>76</v>
      </c>
      <c r="D11" s="2"/>
      <c r="E11" s="2"/>
      <c r="F11" s="2"/>
      <c r="G11" s="83">
        <v>5000</v>
      </c>
      <c r="H11" s="10">
        <v>5000</v>
      </c>
      <c r="I11" s="96"/>
    </row>
    <row r="12" spans="2:9" ht="15" customHeight="1">
      <c r="B12" s="83"/>
      <c r="C12" s="67" t="s">
        <v>77</v>
      </c>
      <c r="D12" s="2"/>
      <c r="E12" s="2"/>
      <c r="F12" s="2"/>
      <c r="G12" s="83">
        <v>0</v>
      </c>
      <c r="H12" s="10">
        <v>0</v>
      </c>
      <c r="I12" s="96"/>
    </row>
    <row r="13" spans="2:9" ht="15" customHeight="1">
      <c r="B13" s="83"/>
      <c r="C13" s="67" t="s">
        <v>78</v>
      </c>
      <c r="D13" s="2"/>
      <c r="E13" s="2"/>
      <c r="F13" s="2"/>
      <c r="G13" s="83">
        <v>0</v>
      </c>
      <c r="H13" s="10">
        <v>0</v>
      </c>
      <c r="I13" s="96"/>
    </row>
    <row r="14" spans="2:9" ht="15" customHeight="1">
      <c r="B14" s="83"/>
      <c r="C14" s="2"/>
      <c r="D14" s="67" t="s">
        <v>79</v>
      </c>
      <c r="E14" s="2"/>
      <c r="F14" s="2"/>
      <c r="G14" s="83">
        <f>SUM(G9:G13)</f>
        <v>35000</v>
      </c>
      <c r="H14" s="10">
        <f>SUM(H9:H13)</f>
        <v>35104.124427505143</v>
      </c>
      <c r="I14" s="96"/>
    </row>
    <row r="15" spans="2:9" ht="15" customHeight="1">
      <c r="B15" s="83"/>
      <c r="C15" s="2"/>
      <c r="D15" s="2"/>
      <c r="E15" s="2"/>
      <c r="F15" s="2"/>
      <c r="G15" s="83"/>
      <c r="H15" s="10"/>
      <c r="I15" s="96"/>
    </row>
    <row r="16" spans="2:9" ht="15" customHeight="1">
      <c r="B16" s="83"/>
      <c r="C16" s="67" t="s">
        <v>80</v>
      </c>
      <c r="D16" s="2"/>
      <c r="E16" s="2"/>
      <c r="F16" s="2"/>
      <c r="G16" s="83">
        <v>150000</v>
      </c>
      <c r="H16" s="2">
        <v>149000</v>
      </c>
      <c r="I16" s="96"/>
    </row>
    <row r="17" spans="2:9" ht="15" customHeight="1">
      <c r="B17" s="83"/>
      <c r="C17" s="102" t="s">
        <v>81</v>
      </c>
      <c r="D17" s="2"/>
      <c r="E17" s="2"/>
      <c r="F17" s="2"/>
      <c r="G17" s="83">
        <v>0</v>
      </c>
      <c r="H17" s="10">
        <v>0</v>
      </c>
      <c r="I17" s="96"/>
    </row>
    <row r="18" spans="2:9" ht="15" customHeight="1">
      <c r="B18" s="83"/>
      <c r="C18" s="67" t="s">
        <v>82</v>
      </c>
      <c r="D18" s="2"/>
      <c r="E18" s="2"/>
      <c r="F18" s="2"/>
      <c r="G18" s="83">
        <v>0</v>
      </c>
      <c r="H18" s="10">
        <v>0</v>
      </c>
      <c r="I18" s="96"/>
    </row>
    <row r="19" spans="2:9" ht="15" customHeight="1">
      <c r="B19" s="99"/>
      <c r="C19" s="32"/>
      <c r="D19" s="31" t="s">
        <v>83</v>
      </c>
      <c r="E19" s="32"/>
      <c r="F19" s="32"/>
      <c r="G19" s="99">
        <f>G14+SUM(G16:G18)</f>
        <v>185000</v>
      </c>
      <c r="H19" s="103">
        <f>H14+SUM(H16:H18)</f>
        <v>184104.12442750513</v>
      </c>
      <c r="I19" s="96"/>
    </row>
    <row r="20" spans="2:9" ht="15" customHeight="1">
      <c r="B20" s="83"/>
      <c r="C20" s="2"/>
      <c r="D20" s="2"/>
      <c r="E20" s="2"/>
      <c r="F20" s="2"/>
      <c r="G20" s="83"/>
      <c r="H20" s="10"/>
      <c r="I20" s="96"/>
    </row>
    <row r="21" spans="2:9" ht="15" customHeight="1">
      <c r="B21" s="83" t="s">
        <v>84</v>
      </c>
      <c r="C21" s="2"/>
      <c r="D21" s="2"/>
      <c r="E21" s="2"/>
      <c r="F21" s="2"/>
      <c r="G21" s="83"/>
      <c r="H21" s="10"/>
      <c r="I21" s="96"/>
    </row>
    <row r="22" spans="2:9" ht="15" customHeight="1">
      <c r="B22" s="83"/>
      <c r="C22" s="67" t="s">
        <v>85</v>
      </c>
      <c r="D22" s="2"/>
      <c r="E22" s="2"/>
      <c r="F22" s="2"/>
      <c r="G22" s="83">
        <v>5000</v>
      </c>
      <c r="H22" s="10">
        <v>5000</v>
      </c>
      <c r="I22" s="96"/>
    </row>
    <row r="23" spans="2:9" ht="15" customHeight="1">
      <c r="B23" s="83"/>
      <c r="C23" s="67" t="s">
        <v>86</v>
      </c>
      <c r="D23" s="2"/>
      <c r="E23" s="2"/>
      <c r="F23" s="2"/>
      <c r="G23" s="83">
        <v>5000</v>
      </c>
      <c r="H23" s="10">
        <v>5000</v>
      </c>
      <c r="I23" s="96"/>
    </row>
    <row r="24" spans="2:9" ht="15" customHeight="1">
      <c r="B24" s="83"/>
      <c r="C24" s="67" t="s">
        <v>87</v>
      </c>
      <c r="D24" s="2"/>
      <c r="E24" s="2"/>
      <c r="F24" s="2"/>
      <c r="G24" s="83">
        <v>5000</v>
      </c>
      <c r="H24" s="10">
        <v>5000</v>
      </c>
      <c r="I24" s="96"/>
    </row>
    <row r="25" spans="2:9" ht="15" customHeight="1">
      <c r="B25" s="83"/>
      <c r="C25" s="67" t="s">
        <v>82</v>
      </c>
      <c r="D25" s="2"/>
      <c r="E25" s="2"/>
      <c r="F25" s="2"/>
      <c r="G25" s="83">
        <v>0</v>
      </c>
      <c r="H25" s="10">
        <f>$G$25</f>
        <v>0</v>
      </c>
      <c r="I25" s="96"/>
    </row>
    <row r="26" spans="2:9" ht="15" customHeight="1">
      <c r="B26" s="83"/>
      <c r="C26" s="67" t="s">
        <v>88</v>
      </c>
      <c r="D26" s="2"/>
      <c r="E26" s="2"/>
      <c r="F26" s="2"/>
      <c r="G26" s="83">
        <v>0</v>
      </c>
      <c r="H26" s="10">
        <v>0</v>
      </c>
      <c r="I26" s="96"/>
    </row>
    <row r="27" spans="2:9" ht="15" customHeight="1">
      <c r="B27" s="83"/>
      <c r="C27" s="67" t="s">
        <v>89</v>
      </c>
      <c r="D27" s="2"/>
      <c r="E27" s="2"/>
      <c r="F27" s="2"/>
      <c r="G27" s="83">
        <f>Am!F6</f>
        <v>3498.8934809258294</v>
      </c>
      <c r="H27" s="10">
        <f>Am!F18</f>
        <v>3733.2208573030584</v>
      </c>
      <c r="I27" s="96"/>
    </row>
    <row r="28" spans="2:9" ht="15" customHeight="1">
      <c r="B28" s="83"/>
      <c r="C28" s="2"/>
      <c r="D28" s="67" t="s">
        <v>90</v>
      </c>
      <c r="E28" s="2"/>
      <c r="F28" s="2"/>
      <c r="G28" s="83">
        <f>SUM(G22:G27)</f>
        <v>18498.893480925828</v>
      </c>
      <c r="H28" s="10">
        <f>SUM(H22:H27)</f>
        <v>18733.220857303058</v>
      </c>
      <c r="I28" s="96"/>
    </row>
    <row r="29" spans="2:9" ht="15" customHeight="1">
      <c r="B29" s="83"/>
      <c r="C29" s="2"/>
      <c r="D29" s="2"/>
      <c r="E29" s="2"/>
      <c r="F29" s="2"/>
      <c r="G29" s="83"/>
      <c r="H29" s="10"/>
      <c r="I29" s="96"/>
    </row>
    <row r="30" spans="2:9" ht="15" customHeight="1">
      <c r="B30" s="83"/>
      <c r="C30" s="67" t="s">
        <v>91</v>
      </c>
      <c r="D30" s="2"/>
      <c r="E30" s="2"/>
      <c r="F30" s="2"/>
      <c r="G30" s="83">
        <f>Am!G6</f>
        <v>16501.106519074172</v>
      </c>
      <c r="H30" s="10">
        <f>Am!G18</f>
        <v>12767.885661771114</v>
      </c>
      <c r="I30" s="96"/>
    </row>
    <row r="31" spans="2:9" ht="15" customHeight="1">
      <c r="B31" s="83"/>
      <c r="C31" s="67" t="s">
        <v>92</v>
      </c>
      <c r="D31" s="2"/>
      <c r="E31" s="2"/>
      <c r="F31" s="2"/>
      <c r="G31" s="83">
        <v>0</v>
      </c>
      <c r="H31" s="10">
        <v>0</v>
      </c>
      <c r="I31" s="96"/>
    </row>
    <row r="32" spans="2:9" ht="15" customHeight="1">
      <c r="B32" s="83"/>
      <c r="C32" s="67" t="s">
        <v>82</v>
      </c>
      <c r="D32" s="2"/>
      <c r="E32" s="2"/>
      <c r="F32" s="2"/>
      <c r="G32" s="83">
        <v>0</v>
      </c>
      <c r="H32" s="10">
        <v>0</v>
      </c>
      <c r="I32" s="96"/>
    </row>
    <row r="33" spans="2:9" ht="15" customHeight="1">
      <c r="B33" s="99"/>
      <c r="C33" s="32"/>
      <c r="D33" s="31" t="s">
        <v>93</v>
      </c>
      <c r="E33" s="32"/>
      <c r="F33" s="32"/>
      <c r="G33" s="99">
        <f>G28+SUM(G30:G32)</f>
        <v>35000</v>
      </c>
      <c r="H33" s="103">
        <f>H28+SUM(H30:H32)</f>
        <v>31501.106519074172</v>
      </c>
      <c r="I33" s="96"/>
    </row>
    <row r="34" spans="2:9" ht="15" customHeight="1">
      <c r="B34" s="83" t="s">
        <v>94</v>
      </c>
      <c r="D34" s="2"/>
      <c r="E34" s="2"/>
      <c r="F34" s="2"/>
      <c r="G34" s="83"/>
      <c r="H34" s="10"/>
      <c r="I34" s="96"/>
    </row>
    <row r="35" spans="2:9" ht="15" customHeight="1">
      <c r="B35" s="83"/>
      <c r="C35" s="67" t="s">
        <v>95</v>
      </c>
      <c r="D35" s="2"/>
      <c r="E35" s="2"/>
      <c r="F35" s="2"/>
      <c r="G35" s="10">
        <f>G19-G33</f>
        <v>150000</v>
      </c>
      <c r="H35" s="10">
        <f>H19-H33</f>
        <v>152603.01790843095</v>
      </c>
      <c r="I35" s="96"/>
    </row>
    <row r="36" spans="2:9" ht="15" customHeight="1">
      <c r="B36" s="83"/>
      <c r="C36" s="67" t="s">
        <v>66</v>
      </c>
      <c r="D36" s="2"/>
      <c r="E36" s="2"/>
      <c r="F36" s="2"/>
      <c r="G36" s="83">
        <v>0</v>
      </c>
      <c r="H36" s="10">
        <v>0</v>
      </c>
      <c r="I36" s="96"/>
    </row>
    <row r="37" spans="2:9" ht="15" customHeight="1">
      <c r="B37" s="83"/>
      <c r="C37" s="58" t="s">
        <v>96</v>
      </c>
      <c r="D37" s="2"/>
      <c r="E37" s="2"/>
      <c r="F37" s="2"/>
      <c r="G37" s="83">
        <v>0</v>
      </c>
      <c r="H37" s="2">
        <v>0</v>
      </c>
      <c r="I37" s="96"/>
    </row>
    <row r="38" spans="2:9" ht="15" customHeight="1">
      <c r="B38" s="83"/>
      <c r="C38" s="67" t="s">
        <v>97</v>
      </c>
      <c r="D38" s="2"/>
      <c r="E38" s="2"/>
      <c r="F38" s="2"/>
      <c r="G38" s="104">
        <v>0</v>
      </c>
      <c r="H38" s="16">
        <v>0</v>
      </c>
      <c r="I38" s="105"/>
    </row>
    <row r="39" spans="2:9" ht="15" customHeight="1">
      <c r="B39" s="99"/>
      <c r="C39" s="32"/>
      <c r="D39" s="31" t="s">
        <v>98</v>
      </c>
      <c r="E39" s="32"/>
      <c r="F39" s="32"/>
      <c r="G39" s="104">
        <f>SUM(G35:G38)</f>
        <v>150000</v>
      </c>
      <c r="H39" s="20">
        <f>H35-H36-H37+H38</f>
        <v>152603.01790843095</v>
      </c>
      <c r="I39" s="96"/>
    </row>
    <row r="40" spans="2:9" ht="15" customHeight="1">
      <c r="B40" s="83"/>
      <c r="C40" s="2"/>
      <c r="D40" s="2"/>
      <c r="E40" s="2"/>
      <c r="F40" s="2"/>
      <c r="G40" s="83"/>
      <c r="H40" s="10"/>
      <c r="I40" s="96"/>
    </row>
    <row r="41" spans="2:9" s="106" customFormat="1" ht="15" customHeight="1">
      <c r="B41" s="107"/>
      <c r="C41" s="48" t="s">
        <v>99</v>
      </c>
      <c r="D41" s="49"/>
      <c r="E41" s="49"/>
      <c r="F41" s="49"/>
      <c r="G41" s="107">
        <f>G33+G39</f>
        <v>185000</v>
      </c>
      <c r="H41" s="49">
        <f>H33+H39</f>
        <v>184104.12442750513</v>
      </c>
      <c r="I41" s="108"/>
    </row>
    <row r="42" spans="2:9" ht="15" customHeight="1">
      <c r="B42" s="83"/>
      <c r="C42" s="2"/>
      <c r="D42" s="2"/>
      <c r="E42" s="2"/>
      <c r="F42" s="2"/>
      <c r="G42" s="83"/>
      <c r="H42" s="10"/>
      <c r="I42" s="96"/>
    </row>
    <row r="43" spans="2:9" ht="15" customHeight="1">
      <c r="B43" s="99"/>
      <c r="C43" s="32"/>
      <c r="D43" s="31" t="s">
        <v>100</v>
      </c>
      <c r="E43" s="32"/>
      <c r="F43" s="32"/>
      <c r="G43" s="99">
        <f>G19-G41</f>
        <v>0</v>
      </c>
      <c r="H43" s="32">
        <f>H19-H41</f>
        <v>0</v>
      </c>
      <c r="I43" s="96"/>
    </row>
    <row r="44" spans="2:9" ht="1.5" customHeight="1"/>
    <row r="46" spans="2:9" ht="15" hidden="1" customHeight="1">
      <c r="H46" s="109">
        <v>12</v>
      </c>
    </row>
  </sheetData>
  <printOptions horizontalCentered="1"/>
  <pageMargins left="0.25" right="0.25" top="0.5" bottom="0.5" header="0" footer="0"/>
  <pageSetup scale="64" orientation="landscape" horizontalDpi="4294967292" verticalDpi="200"/>
  <headerFooter>
    <oddFooter xml:space="preserve">&amp;L&amp;6               This template was created by the South Dakota SBDC and is authorized for use by the organization listed above.&amp;R&amp;"Arial MT,Bold"&amp;8&amp;D     &amp;T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8"/>
  <sheetViews>
    <sheetView zoomScaleSheetLayoutView="100" workbookViewId="0">
      <selection activeCell="C14" sqref="C14"/>
    </sheetView>
  </sheetViews>
  <sheetFormatPr defaultRowHeight="11.25" customHeight="1"/>
  <cols>
    <col min="1" max="1" width="2.28515625" style="57" customWidth="1"/>
    <col min="2" max="2" width="40.140625" style="57" bestFit="1" customWidth="1"/>
    <col min="3" max="3" width="19.5703125" style="57" customWidth="1"/>
    <col min="4" max="4" width="13.42578125" style="57" hidden="1" customWidth="1"/>
    <col min="5" max="12" width="9.28515625" style="57" hidden="1" customWidth="1"/>
    <col min="13" max="13" width="3.28515625" style="57" customWidth="1"/>
    <col min="14" max="14" width="0.7109375" style="57" customWidth="1"/>
    <col min="15" max="15" width="3.28515625" style="57" customWidth="1"/>
    <col min="16" max="16" width="25.28515625" style="57" bestFit="1" customWidth="1"/>
    <col min="17" max="17" width="21.28515625" style="57" customWidth="1"/>
    <col min="18" max="18" width="13.42578125" style="57" hidden="1" customWidth="1"/>
    <col min="19" max="26" width="9.140625" style="57" hidden="1" customWidth="1"/>
    <col min="27" max="16384" width="9.140625" style="57"/>
  </cols>
  <sheetData>
    <row r="1" spans="1:26" ht="21" customHeight="1">
      <c r="B1" s="110" t="e">
        <f>'Inc1'!#REF!</f>
        <v>#REF!</v>
      </c>
      <c r="C1" s="110"/>
      <c r="R1" s="111"/>
      <c r="S1" s="105"/>
    </row>
    <row r="2" spans="1:26" ht="22.5" customHeight="1">
      <c r="A2" s="105"/>
      <c r="B2" s="113" t="s">
        <v>101</v>
      </c>
      <c r="C2" s="11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05"/>
      <c r="S2" s="105"/>
    </row>
    <row r="3" spans="1:26" ht="27.75" hidden="1" customHeight="1">
      <c r="A3" s="105"/>
      <c r="B3" s="114" t="s">
        <v>102</v>
      </c>
      <c r="C3" s="114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17"/>
      <c r="O3" s="105"/>
      <c r="P3" s="118" t="s">
        <v>103</v>
      </c>
      <c r="Q3" s="118"/>
      <c r="R3" s="105"/>
      <c r="S3" s="105"/>
    </row>
    <row r="4" spans="1:26" ht="15" customHeight="1">
      <c r="A4" s="105"/>
      <c r="B4" s="119"/>
      <c r="C4" s="119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20"/>
      <c r="O4" s="105"/>
      <c r="P4" s="105"/>
      <c r="Q4" s="105"/>
      <c r="R4" s="105"/>
      <c r="S4" s="105"/>
    </row>
    <row r="5" spans="1:26" ht="15" customHeight="1">
      <c r="A5" s="105"/>
      <c r="B5" s="121" t="s">
        <v>104</v>
      </c>
      <c r="C5" s="122" t="s">
        <v>105</v>
      </c>
      <c r="D5" s="123"/>
      <c r="E5" s="123"/>
      <c r="F5" s="123"/>
      <c r="G5" s="123"/>
      <c r="H5" s="123"/>
      <c r="I5" s="123"/>
      <c r="J5" s="123"/>
      <c r="K5" s="123"/>
      <c r="L5" s="123"/>
      <c r="M5" s="124"/>
      <c r="N5" s="125"/>
      <c r="O5" s="105"/>
      <c r="P5" s="126" t="s">
        <v>104</v>
      </c>
      <c r="Q5" s="127" t="s">
        <v>106</v>
      </c>
      <c r="R5" s="105"/>
      <c r="S5" s="105"/>
    </row>
    <row r="6" spans="1:26" ht="15" customHeight="1">
      <c r="A6" s="105"/>
      <c r="B6" s="121"/>
      <c r="C6" s="122"/>
      <c r="D6" s="123"/>
      <c r="E6" s="123"/>
      <c r="F6" s="123"/>
      <c r="G6" s="123"/>
      <c r="H6" s="123"/>
      <c r="I6" s="123"/>
      <c r="J6" s="123"/>
      <c r="K6" s="123"/>
      <c r="L6" s="123"/>
      <c r="M6" s="124"/>
      <c r="N6" s="125"/>
      <c r="O6" s="105"/>
      <c r="P6" s="126"/>
      <c r="Q6" s="127"/>
      <c r="R6" s="105"/>
      <c r="S6" s="105"/>
    </row>
    <row r="7" spans="1:26" ht="15" customHeight="1">
      <c r="A7" s="105"/>
      <c r="B7" s="121" t="s">
        <v>107</v>
      </c>
      <c r="C7" s="122" t="s">
        <v>108</v>
      </c>
      <c r="D7" s="123"/>
      <c r="E7" s="123"/>
      <c r="F7" s="123"/>
      <c r="G7" s="123"/>
      <c r="H7" s="123"/>
      <c r="I7" s="123"/>
      <c r="J7" s="123"/>
      <c r="K7" s="123"/>
      <c r="L7" s="123"/>
      <c r="M7" s="124"/>
      <c r="N7" s="125"/>
      <c r="O7" s="105"/>
      <c r="P7" s="126" t="s">
        <v>107</v>
      </c>
      <c r="Q7" s="127" t="s">
        <v>108</v>
      </c>
      <c r="R7" s="105"/>
      <c r="S7" s="105"/>
    </row>
    <row r="8" spans="1:26" ht="11.25" customHeight="1">
      <c r="A8" s="105"/>
      <c r="B8" s="119"/>
      <c r="C8" s="10"/>
      <c r="D8" s="128" t="s">
        <v>109</v>
      </c>
      <c r="E8" s="129">
        <v>1</v>
      </c>
      <c r="F8" s="130">
        <f t="shared" ref="F8:L8" si="0">E8+1</f>
        <v>2</v>
      </c>
      <c r="G8" s="130">
        <f t="shared" si="0"/>
        <v>3</v>
      </c>
      <c r="H8" s="130">
        <f t="shared" si="0"/>
        <v>4</v>
      </c>
      <c r="I8" s="130">
        <f t="shared" si="0"/>
        <v>5</v>
      </c>
      <c r="J8" s="130">
        <f t="shared" si="0"/>
        <v>6</v>
      </c>
      <c r="K8" s="130">
        <f t="shared" si="0"/>
        <v>7</v>
      </c>
      <c r="L8" s="130">
        <f t="shared" si="0"/>
        <v>8</v>
      </c>
      <c r="M8" s="105"/>
      <c r="N8" s="120"/>
      <c r="O8" s="105"/>
      <c r="P8" s="105"/>
      <c r="Q8" s="87"/>
      <c r="R8" s="105"/>
      <c r="S8" s="129">
        <v>1</v>
      </c>
      <c r="T8" s="130">
        <f t="shared" ref="T8:Z8" si="1">S8+1</f>
        <v>2</v>
      </c>
      <c r="U8" s="130">
        <f t="shared" si="1"/>
        <v>3</v>
      </c>
      <c r="V8" s="130">
        <f t="shared" si="1"/>
        <v>4</v>
      </c>
      <c r="W8" s="130">
        <f t="shared" si="1"/>
        <v>5</v>
      </c>
      <c r="X8" s="130">
        <f t="shared" si="1"/>
        <v>6</v>
      </c>
      <c r="Y8" s="130">
        <f t="shared" si="1"/>
        <v>7</v>
      </c>
      <c r="Z8" s="130">
        <f t="shared" si="1"/>
        <v>8</v>
      </c>
    </row>
    <row r="9" spans="1:26" ht="15" customHeight="1">
      <c r="A9" s="105"/>
      <c r="B9" s="121" t="s">
        <v>110</v>
      </c>
      <c r="C9" s="131">
        <v>20000</v>
      </c>
      <c r="D9" s="105" t="s">
        <v>111</v>
      </c>
      <c r="E9" s="105">
        <f>C9</f>
        <v>20000</v>
      </c>
      <c r="F9" s="57">
        <f t="shared" ref="F9:L9" si="2">$E9+E11</f>
        <v>20000</v>
      </c>
      <c r="G9" s="57">
        <f t="shared" si="2"/>
        <v>20000</v>
      </c>
      <c r="H9" s="57">
        <f t="shared" si="2"/>
        <v>20000</v>
      </c>
      <c r="I9" s="57">
        <f t="shared" si="2"/>
        <v>20000</v>
      </c>
      <c r="J9" s="57">
        <f t="shared" si="2"/>
        <v>20000</v>
      </c>
      <c r="K9" s="57">
        <f t="shared" si="2"/>
        <v>20000</v>
      </c>
      <c r="L9" s="57">
        <f t="shared" si="2"/>
        <v>20000</v>
      </c>
      <c r="M9" s="132"/>
      <c r="N9" s="133"/>
      <c r="O9" s="105"/>
      <c r="P9" s="126" t="s">
        <v>110</v>
      </c>
      <c r="Q9" s="134">
        <v>0</v>
      </c>
      <c r="R9" s="105" t="s">
        <v>111</v>
      </c>
      <c r="S9" s="105">
        <f>Q9</f>
        <v>0</v>
      </c>
      <c r="T9" s="57">
        <f t="shared" ref="T9:Z9" si="3">$S9+S11</f>
        <v>0</v>
      </c>
      <c r="U9" s="57">
        <f t="shared" si="3"/>
        <v>0</v>
      </c>
      <c r="V9" s="57">
        <f t="shared" si="3"/>
        <v>0</v>
      </c>
      <c r="W9" s="57">
        <f t="shared" si="3"/>
        <v>0</v>
      </c>
      <c r="X9" s="57">
        <f t="shared" si="3"/>
        <v>0</v>
      </c>
      <c r="Y9" s="57">
        <f t="shared" si="3"/>
        <v>0</v>
      </c>
      <c r="Z9" s="57">
        <f t="shared" si="3"/>
        <v>0</v>
      </c>
    </row>
    <row r="10" spans="1:26" ht="15" customHeight="1">
      <c r="A10" s="105"/>
      <c r="B10" s="119"/>
      <c r="C10" s="13"/>
      <c r="D10" s="105" t="s">
        <v>112</v>
      </c>
      <c r="E10" s="105">
        <f t="shared" ref="E10:L10" si="4">IF(E9&lt;=150000,0.85*E9,IF(E9&lt;=(1000000/0.75),0.75*E9,1000000))</f>
        <v>17000</v>
      </c>
      <c r="F10" s="105">
        <f t="shared" si="4"/>
        <v>17000</v>
      </c>
      <c r="G10" s="105">
        <f t="shared" si="4"/>
        <v>17000</v>
      </c>
      <c r="H10" s="105">
        <f t="shared" si="4"/>
        <v>17000</v>
      </c>
      <c r="I10" s="105">
        <f t="shared" si="4"/>
        <v>17000</v>
      </c>
      <c r="J10" s="105">
        <f t="shared" si="4"/>
        <v>17000</v>
      </c>
      <c r="K10" s="105">
        <f t="shared" si="4"/>
        <v>17000</v>
      </c>
      <c r="L10" s="105">
        <f t="shared" si="4"/>
        <v>17000</v>
      </c>
      <c r="M10" s="124"/>
      <c r="N10" s="125"/>
      <c r="O10" s="105"/>
      <c r="P10" s="105"/>
      <c r="Q10" s="135"/>
      <c r="R10" s="105" t="s">
        <v>112</v>
      </c>
      <c r="S10" s="105">
        <f t="shared" ref="S10:Z10" si="5">IF(S9&lt;=150000,0.85*S9,IF(S9&lt;=(1000000/0.75),0.75*S9,1000000))</f>
        <v>0</v>
      </c>
      <c r="T10" s="105">
        <f t="shared" si="5"/>
        <v>0</v>
      </c>
      <c r="U10" s="105">
        <f t="shared" si="5"/>
        <v>0</v>
      </c>
      <c r="V10" s="105">
        <f t="shared" si="5"/>
        <v>0</v>
      </c>
      <c r="W10" s="105">
        <f t="shared" si="5"/>
        <v>0</v>
      </c>
      <c r="X10" s="105">
        <f t="shared" si="5"/>
        <v>0</v>
      </c>
      <c r="Y10" s="105">
        <f t="shared" si="5"/>
        <v>0</v>
      </c>
      <c r="Z10" s="105">
        <f t="shared" si="5"/>
        <v>0</v>
      </c>
    </row>
    <row r="11" spans="1:26" ht="15" customHeight="1">
      <c r="A11" s="105"/>
      <c r="B11" s="121" t="s">
        <v>113</v>
      </c>
      <c r="C11" s="136">
        <v>6.5000000000000002E-2</v>
      </c>
      <c r="D11" s="105" t="s">
        <v>114</v>
      </c>
      <c r="E11" s="137">
        <f t="shared" ref="E11:L11" si="6">IF($C7="yes",IF($C13&gt;0,IF($C13&lt;=1,0.25%*E10,IF(E10&lt;=150000, 2%*E10, IF(E10&lt;=700000, 3%*E10, IF(E10&lt;=1000000, 3.5%*E10,35000)))),0),0)</f>
        <v>0</v>
      </c>
      <c r="F11" s="137">
        <f t="shared" si="6"/>
        <v>0</v>
      </c>
      <c r="G11" s="137">
        <f t="shared" si="6"/>
        <v>0</v>
      </c>
      <c r="H11" s="137">
        <f t="shared" si="6"/>
        <v>0</v>
      </c>
      <c r="I11" s="137">
        <f t="shared" si="6"/>
        <v>0</v>
      </c>
      <c r="J11" s="137">
        <f t="shared" si="6"/>
        <v>0</v>
      </c>
      <c r="K11" s="137">
        <f t="shared" si="6"/>
        <v>0</v>
      </c>
      <c r="L11" s="137">
        <f t="shared" si="6"/>
        <v>0</v>
      </c>
      <c r="M11" s="138"/>
      <c r="N11" s="139"/>
      <c r="O11" s="105"/>
      <c r="P11" s="126" t="s">
        <v>113</v>
      </c>
      <c r="Q11" s="140">
        <v>0.08</v>
      </c>
      <c r="R11" s="105" t="s">
        <v>114</v>
      </c>
      <c r="S11" s="137">
        <f t="shared" ref="S11:Z11" si="7">IF($Q7="yes",IF($Q13&gt;0,IF($Q13&lt;=1,0.25%*S10,IF(S10&lt;=150000, 2%*S10, IF(S10&lt;=700000, 3%*S10, IF(S10&lt;=1000000, 3.5%*S10,35000)))),0),0)</f>
        <v>0</v>
      </c>
      <c r="T11" s="137">
        <f t="shared" si="7"/>
        <v>0</v>
      </c>
      <c r="U11" s="137">
        <f t="shared" si="7"/>
        <v>0</v>
      </c>
      <c r="V11" s="137">
        <f t="shared" si="7"/>
        <v>0</v>
      </c>
      <c r="W11" s="137">
        <f t="shared" si="7"/>
        <v>0</v>
      </c>
      <c r="X11" s="137">
        <f t="shared" si="7"/>
        <v>0</v>
      </c>
      <c r="Y11" s="137">
        <f t="shared" si="7"/>
        <v>0</v>
      </c>
      <c r="Z11" s="137">
        <f t="shared" si="7"/>
        <v>0</v>
      </c>
    </row>
    <row r="12" spans="1:26" ht="15" customHeight="1">
      <c r="A12" s="105"/>
      <c r="B12" s="119"/>
      <c r="C12" s="1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105"/>
      <c r="P12" s="105"/>
      <c r="Q12" s="135"/>
      <c r="R12" s="105"/>
      <c r="S12" s="105"/>
    </row>
    <row r="13" spans="1:26" ht="15" customHeight="1">
      <c r="A13" s="105"/>
      <c r="B13" s="121" t="s">
        <v>115</v>
      </c>
      <c r="C13" s="141">
        <v>5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05"/>
      <c r="P13" s="126" t="s">
        <v>115</v>
      </c>
      <c r="Q13" s="144">
        <v>1</v>
      </c>
      <c r="R13" s="105"/>
      <c r="S13" s="105"/>
    </row>
    <row r="14" spans="1:26" ht="15" customHeight="1">
      <c r="A14" s="105"/>
      <c r="B14" s="121"/>
      <c r="C14" s="145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05"/>
      <c r="P14" s="126"/>
      <c r="Q14" s="146"/>
      <c r="R14" s="105"/>
      <c r="S14" s="105"/>
    </row>
    <row r="15" spans="1:26" ht="15" customHeight="1">
      <c r="A15" s="105"/>
      <c r="B15" s="121" t="s">
        <v>116</v>
      </c>
      <c r="C15" s="141">
        <v>1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/>
      <c r="O15" s="105"/>
      <c r="P15" s="126" t="str">
        <f>B15</f>
        <v xml:space="preserve">  起始月：</v>
      </c>
      <c r="Q15" s="144">
        <v>1</v>
      </c>
      <c r="R15" s="105"/>
      <c r="S15" s="105"/>
    </row>
    <row r="16" spans="1:26" ht="15" customHeight="1">
      <c r="A16" s="105"/>
      <c r="B16" s="121"/>
      <c r="C16" s="147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  <c r="O16" s="105"/>
      <c r="P16" s="126"/>
      <c r="Q16" s="142"/>
      <c r="R16" s="105"/>
      <c r="S16" s="105"/>
    </row>
    <row r="17" spans="1:26" ht="15" customHeight="1">
      <c r="A17" s="105"/>
      <c r="B17" s="121" t="s">
        <v>117</v>
      </c>
      <c r="C17" s="148">
        <f>L11</f>
        <v>0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2"/>
      <c r="N17" s="143"/>
      <c r="O17" s="105"/>
      <c r="P17" s="126" t="s">
        <v>117</v>
      </c>
      <c r="Q17" s="149">
        <f>Z11</f>
        <v>0</v>
      </c>
      <c r="R17" s="105"/>
      <c r="S17" s="105"/>
    </row>
    <row r="18" spans="1:26" ht="15" customHeight="1">
      <c r="A18" s="105"/>
      <c r="B18" s="119"/>
      <c r="C18" s="119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20"/>
      <c r="O18" s="105"/>
      <c r="P18" s="105"/>
      <c r="Q18" s="105"/>
      <c r="R18" s="105"/>
      <c r="S18" s="105"/>
    </row>
    <row r="19" spans="1:26" ht="15.75" customHeight="1">
      <c r="A19" s="105"/>
      <c r="B19" s="119" t="s">
        <v>118</v>
      </c>
      <c r="C19" s="150">
        <f>C9+C17</f>
        <v>20000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05"/>
      <c r="N19" s="120"/>
      <c r="O19" s="105"/>
      <c r="P19" s="105" t="s">
        <v>118</v>
      </c>
      <c r="Q19" s="152">
        <f>Q9+Q17</f>
        <v>0</v>
      </c>
      <c r="R19" s="105"/>
      <c r="S19" s="105"/>
    </row>
    <row r="20" spans="1:26" ht="15" customHeight="1">
      <c r="A20" s="105"/>
      <c r="B20" s="119"/>
      <c r="C20" s="119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20"/>
      <c r="O20" s="105"/>
      <c r="P20" s="105"/>
      <c r="Q20" s="105"/>
      <c r="R20" s="105"/>
      <c r="S20" s="105"/>
    </row>
    <row r="21" spans="1:26" ht="16.5" customHeight="1">
      <c r="A21" s="105"/>
      <c r="B21" s="121" t="s">
        <v>119</v>
      </c>
      <c r="C21" s="153">
        <f>IF(C13&gt;0,PMT(C11/12,C13*12,-C19),0)</f>
        <v>391.32296437457086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  <c r="O21" s="154"/>
      <c r="P21" s="156" t="s">
        <v>119</v>
      </c>
      <c r="Q21" s="154">
        <f>IF(Q13&gt;0,PMT(Q11/12,Q13*12,-Q19),0)</f>
        <v>0</v>
      </c>
      <c r="R21" s="105"/>
      <c r="S21" s="105"/>
    </row>
    <row r="22" spans="1:26" ht="11.25" customHeight="1">
      <c r="A22" s="105"/>
      <c r="B22" s="121"/>
      <c r="C22" s="58"/>
      <c r="M22" s="154"/>
      <c r="N22" s="155"/>
      <c r="O22" s="154"/>
      <c r="P22" s="126"/>
      <c r="R22" s="105"/>
      <c r="S22" s="105"/>
    </row>
    <row r="23" spans="1:26" ht="3" customHeight="1">
      <c r="A23" s="105"/>
      <c r="B23" s="108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5"/>
      <c r="O23" s="106"/>
      <c r="P23" s="106"/>
      <c r="Q23" s="157"/>
      <c r="R23" s="105"/>
      <c r="S23" s="105"/>
    </row>
    <row r="24" spans="1:26" ht="8.25" customHeight="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20"/>
      <c r="O24" s="105"/>
      <c r="P24" s="105"/>
      <c r="Q24" s="105"/>
      <c r="R24" s="105"/>
      <c r="S24" s="105"/>
    </row>
    <row r="25" spans="1:26" ht="12.75" customHeight="1">
      <c r="A25" s="105"/>
      <c r="B25" s="118" t="s">
        <v>120</v>
      </c>
      <c r="C25" s="118"/>
      <c r="D25" s="115"/>
      <c r="E25" s="115"/>
      <c r="F25" s="115"/>
      <c r="G25" s="115"/>
      <c r="H25" s="115"/>
      <c r="I25" s="115"/>
      <c r="J25" s="115"/>
      <c r="K25" s="115"/>
      <c r="L25" s="115"/>
      <c r="M25" s="116"/>
      <c r="N25" s="117"/>
      <c r="O25" s="105"/>
      <c r="P25" s="118" t="s">
        <v>121</v>
      </c>
      <c r="Q25" s="118"/>
      <c r="R25" s="105"/>
      <c r="S25" s="105"/>
    </row>
    <row r="26" spans="1:26" ht="11.25" customHeigh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20"/>
      <c r="O26" s="105"/>
      <c r="P26" s="105"/>
      <c r="Q26" s="105"/>
      <c r="R26" s="105"/>
      <c r="S26" s="105"/>
    </row>
    <row r="27" spans="1:26" ht="11.25" customHeight="1">
      <c r="A27" s="105"/>
      <c r="B27" s="126" t="s">
        <v>104</v>
      </c>
      <c r="C27" s="127"/>
      <c r="D27" s="123"/>
      <c r="E27" s="123"/>
      <c r="F27" s="123"/>
      <c r="G27" s="123"/>
      <c r="H27" s="123"/>
      <c r="I27" s="123"/>
      <c r="J27" s="123"/>
      <c r="K27" s="123"/>
      <c r="L27" s="123"/>
      <c r="M27" s="124"/>
      <c r="N27" s="125"/>
      <c r="O27" s="105"/>
      <c r="P27" s="126" t="s">
        <v>104</v>
      </c>
      <c r="Q27" s="127"/>
      <c r="R27" s="105"/>
      <c r="S27" s="105"/>
    </row>
    <row r="28" spans="1:26" ht="11.25" customHeight="1">
      <c r="A28" s="105"/>
      <c r="B28" s="126"/>
      <c r="C28" s="127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125"/>
      <c r="O28" s="105"/>
      <c r="P28" s="126"/>
      <c r="Q28" s="127"/>
      <c r="R28" s="105"/>
      <c r="S28" s="105"/>
    </row>
    <row r="29" spans="1:26" ht="11.25" customHeight="1">
      <c r="A29" s="105"/>
      <c r="B29" s="126" t="s">
        <v>107</v>
      </c>
      <c r="C29" s="127" t="s">
        <v>108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4"/>
      <c r="N29" s="125"/>
      <c r="O29" s="105"/>
      <c r="P29" s="126" t="s">
        <v>107</v>
      </c>
      <c r="Q29" s="127" t="s">
        <v>108</v>
      </c>
      <c r="R29" s="105"/>
      <c r="S29" s="105"/>
    </row>
    <row r="30" spans="1:26" ht="11.25" customHeight="1">
      <c r="A30" s="105"/>
      <c r="B30" s="105"/>
      <c r="C30" s="135"/>
      <c r="D30" s="105"/>
      <c r="E30" s="129">
        <v>1</v>
      </c>
      <c r="F30" s="130">
        <f t="shared" ref="F30:L30" si="8">E30+1</f>
        <v>2</v>
      </c>
      <c r="G30" s="130">
        <f t="shared" si="8"/>
        <v>3</v>
      </c>
      <c r="H30" s="130">
        <f t="shared" si="8"/>
        <v>4</v>
      </c>
      <c r="I30" s="130">
        <f t="shared" si="8"/>
        <v>5</v>
      </c>
      <c r="J30" s="130">
        <f t="shared" si="8"/>
        <v>6</v>
      </c>
      <c r="K30" s="130">
        <f t="shared" si="8"/>
        <v>7</v>
      </c>
      <c r="L30" s="130">
        <f t="shared" si="8"/>
        <v>8</v>
      </c>
      <c r="M30" s="124"/>
      <c r="N30" s="125"/>
      <c r="O30" s="105"/>
      <c r="P30" s="105"/>
      <c r="Q30" s="135"/>
      <c r="R30" s="105"/>
      <c r="S30" s="129">
        <v>1</v>
      </c>
      <c r="T30" s="130">
        <f t="shared" ref="T30:Z30" si="9">S30+1</f>
        <v>2</v>
      </c>
      <c r="U30" s="130">
        <f t="shared" si="9"/>
        <v>3</v>
      </c>
      <c r="V30" s="130">
        <f t="shared" si="9"/>
        <v>4</v>
      </c>
      <c r="W30" s="130">
        <f t="shared" si="9"/>
        <v>5</v>
      </c>
      <c r="X30" s="130">
        <f t="shared" si="9"/>
        <v>6</v>
      </c>
      <c r="Y30" s="130">
        <f t="shared" si="9"/>
        <v>7</v>
      </c>
      <c r="Z30" s="130">
        <f t="shared" si="9"/>
        <v>8</v>
      </c>
    </row>
    <row r="31" spans="1:26" ht="11.25" customHeight="1">
      <c r="A31" s="105"/>
      <c r="B31" s="126" t="s">
        <v>110</v>
      </c>
      <c r="C31" s="134">
        <v>0</v>
      </c>
      <c r="D31" s="105" t="s">
        <v>111</v>
      </c>
      <c r="E31" s="105">
        <f>C31</f>
        <v>0</v>
      </c>
      <c r="F31" s="57">
        <f t="shared" ref="F31:L31" si="10">$E31+E33</f>
        <v>0</v>
      </c>
      <c r="G31" s="57">
        <f t="shared" si="10"/>
        <v>0</v>
      </c>
      <c r="H31" s="57">
        <f t="shared" si="10"/>
        <v>0</v>
      </c>
      <c r="I31" s="57">
        <f t="shared" si="10"/>
        <v>0</v>
      </c>
      <c r="J31" s="57">
        <f t="shared" si="10"/>
        <v>0</v>
      </c>
      <c r="K31" s="57">
        <f t="shared" si="10"/>
        <v>0</v>
      </c>
      <c r="L31" s="57">
        <f t="shared" si="10"/>
        <v>0</v>
      </c>
      <c r="M31" s="132"/>
      <c r="N31" s="133"/>
      <c r="O31" s="105"/>
      <c r="P31" s="126" t="s">
        <v>110</v>
      </c>
      <c r="Q31" s="134">
        <v>0</v>
      </c>
      <c r="R31" s="105" t="s">
        <v>111</v>
      </c>
      <c r="S31" s="105">
        <f>Q31</f>
        <v>0</v>
      </c>
      <c r="T31" s="57">
        <f t="shared" ref="T31:Z31" si="11">$S31+S33</f>
        <v>0</v>
      </c>
      <c r="U31" s="57">
        <f t="shared" si="11"/>
        <v>0</v>
      </c>
      <c r="V31" s="57">
        <f t="shared" si="11"/>
        <v>0</v>
      </c>
      <c r="W31" s="57">
        <f t="shared" si="11"/>
        <v>0</v>
      </c>
      <c r="X31" s="57">
        <f t="shared" si="11"/>
        <v>0</v>
      </c>
      <c r="Y31" s="57">
        <f t="shared" si="11"/>
        <v>0</v>
      </c>
      <c r="Z31" s="57">
        <f t="shared" si="11"/>
        <v>0</v>
      </c>
    </row>
    <row r="32" spans="1:26" ht="11.25" customHeight="1">
      <c r="A32" s="105"/>
      <c r="B32" s="105"/>
      <c r="C32" s="135"/>
      <c r="D32" s="105" t="s">
        <v>112</v>
      </c>
      <c r="E32" s="105">
        <f t="shared" ref="E32:L32" si="12">IF(E31&lt;=150000,0.85*E31,IF(E31&lt;=(1000000/0.75),0.75*E31,1000000))</f>
        <v>0</v>
      </c>
      <c r="F32" s="105">
        <f t="shared" si="12"/>
        <v>0</v>
      </c>
      <c r="G32" s="105">
        <f t="shared" si="12"/>
        <v>0</v>
      </c>
      <c r="H32" s="105">
        <f t="shared" si="12"/>
        <v>0</v>
      </c>
      <c r="I32" s="105">
        <f t="shared" si="12"/>
        <v>0</v>
      </c>
      <c r="J32" s="105">
        <f t="shared" si="12"/>
        <v>0</v>
      </c>
      <c r="K32" s="105">
        <f t="shared" si="12"/>
        <v>0</v>
      </c>
      <c r="L32" s="105">
        <f t="shared" si="12"/>
        <v>0</v>
      </c>
      <c r="M32" s="124"/>
      <c r="N32" s="125"/>
      <c r="O32" s="105"/>
      <c r="P32" s="105"/>
      <c r="Q32" s="135"/>
      <c r="R32" s="105" t="s">
        <v>112</v>
      </c>
      <c r="S32" s="105">
        <f t="shared" ref="S32:Z32" si="13">IF(S31&lt;=150000,0.85*S31,IF(S31&lt;=(1000000/0.75),0.75*S31,1000000))</f>
        <v>0</v>
      </c>
      <c r="T32" s="105">
        <f t="shared" si="13"/>
        <v>0</v>
      </c>
      <c r="U32" s="105">
        <f t="shared" si="13"/>
        <v>0</v>
      </c>
      <c r="V32" s="105">
        <f t="shared" si="13"/>
        <v>0</v>
      </c>
      <c r="W32" s="105">
        <f t="shared" si="13"/>
        <v>0</v>
      </c>
      <c r="X32" s="105">
        <f t="shared" si="13"/>
        <v>0</v>
      </c>
      <c r="Y32" s="105">
        <f t="shared" si="13"/>
        <v>0</v>
      </c>
      <c r="Z32" s="105">
        <f t="shared" si="13"/>
        <v>0</v>
      </c>
    </row>
    <row r="33" spans="1:26" ht="11.25" customHeight="1">
      <c r="A33" s="105"/>
      <c r="B33" s="126" t="s">
        <v>113</v>
      </c>
      <c r="C33" s="140">
        <v>0</v>
      </c>
      <c r="D33" s="105" t="s">
        <v>114</v>
      </c>
      <c r="E33" s="137">
        <f t="shared" ref="E33:L33" si="14">IF($C29="yes",IF($C35&gt;0,IF($C35&lt;=1,0.25%*E32,IF(E32&lt;=150000, 2%*E32, IF(E32&lt;=700000, 3%*E32, IF(E32&lt;=1000000, 3.5%*E32,35000)))),0),0)</f>
        <v>0</v>
      </c>
      <c r="F33" s="137">
        <f t="shared" si="14"/>
        <v>0</v>
      </c>
      <c r="G33" s="137">
        <f t="shared" si="14"/>
        <v>0</v>
      </c>
      <c r="H33" s="137">
        <f t="shared" si="14"/>
        <v>0</v>
      </c>
      <c r="I33" s="137">
        <f t="shared" si="14"/>
        <v>0</v>
      </c>
      <c r="J33" s="137">
        <f t="shared" si="14"/>
        <v>0</v>
      </c>
      <c r="K33" s="137">
        <f t="shared" si="14"/>
        <v>0</v>
      </c>
      <c r="L33" s="137">
        <f t="shared" si="14"/>
        <v>0</v>
      </c>
      <c r="M33" s="138"/>
      <c r="N33" s="139"/>
      <c r="O33" s="105"/>
      <c r="P33" s="126" t="s">
        <v>113</v>
      </c>
      <c r="Q33" s="140">
        <v>0</v>
      </c>
      <c r="R33" s="105" t="s">
        <v>114</v>
      </c>
      <c r="S33" s="137">
        <f t="shared" ref="S33:Z33" si="15">IF($Q29="yes",IF($Q35&gt;0,IF($Q35&lt;=1,0.25%*S32,IF(S32&lt;=150000, 2%*S32, IF(S32&lt;=700000, 3%*S32, IF(S32&lt;=1000000, 3.5%*S32,35000)))),0),0)</f>
        <v>0</v>
      </c>
      <c r="T33" s="137">
        <f t="shared" si="15"/>
        <v>0</v>
      </c>
      <c r="U33" s="137">
        <f t="shared" si="15"/>
        <v>0</v>
      </c>
      <c r="V33" s="137">
        <f t="shared" si="15"/>
        <v>0</v>
      </c>
      <c r="W33" s="137">
        <f t="shared" si="15"/>
        <v>0</v>
      </c>
      <c r="X33" s="137">
        <f t="shared" si="15"/>
        <v>0</v>
      </c>
      <c r="Y33" s="137">
        <f t="shared" si="15"/>
        <v>0</v>
      </c>
      <c r="Z33" s="137">
        <f t="shared" si="15"/>
        <v>0</v>
      </c>
    </row>
    <row r="34" spans="1:26" ht="11.25" customHeight="1">
      <c r="A34" s="105"/>
      <c r="B34" s="105"/>
      <c r="C34" s="135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05"/>
      <c r="P34" s="105"/>
      <c r="Q34" s="135"/>
      <c r="R34" s="105"/>
      <c r="S34" s="105"/>
    </row>
    <row r="35" spans="1:26" ht="11.25" customHeight="1">
      <c r="A35" s="105"/>
      <c r="B35" s="126" t="s">
        <v>115</v>
      </c>
      <c r="C35" s="158">
        <v>2.0830000000000002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105"/>
      <c r="P35" s="126" t="s">
        <v>115</v>
      </c>
      <c r="Q35" s="144">
        <v>0</v>
      </c>
      <c r="R35" s="105"/>
      <c r="S35" s="105"/>
    </row>
    <row r="36" spans="1:26" ht="11.25" customHeight="1">
      <c r="A36" s="105"/>
      <c r="B36" s="126"/>
      <c r="C36" s="146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3"/>
      <c r="O36" s="105"/>
      <c r="P36" s="126"/>
      <c r="Q36" s="146"/>
      <c r="R36" s="105"/>
      <c r="S36" s="105"/>
    </row>
    <row r="37" spans="1:26" ht="11.25" customHeight="1">
      <c r="A37" s="105"/>
      <c r="B37" s="126" t="str">
        <f>B15</f>
        <v xml:space="preserve">  起始月：</v>
      </c>
      <c r="C37" s="144">
        <v>1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3"/>
      <c r="O37" s="105"/>
      <c r="P37" s="126" t="str">
        <f>B37</f>
        <v xml:space="preserve">  起始月：</v>
      </c>
      <c r="Q37" s="144">
        <v>1</v>
      </c>
      <c r="R37" s="105"/>
      <c r="S37" s="105"/>
    </row>
    <row r="38" spans="1:26" ht="11.25" customHeight="1">
      <c r="A38" s="105"/>
      <c r="B38" s="126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3"/>
      <c r="O38" s="105"/>
      <c r="P38" s="126"/>
      <c r="Q38" s="142"/>
      <c r="R38" s="105"/>
      <c r="S38" s="105"/>
    </row>
    <row r="39" spans="1:26" ht="11.25" customHeight="1">
      <c r="A39" s="105"/>
      <c r="B39" s="126" t="s">
        <v>117</v>
      </c>
      <c r="C39" s="149">
        <f>L33</f>
        <v>0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2"/>
      <c r="N39" s="143"/>
      <c r="O39" s="105"/>
      <c r="P39" s="126" t="s">
        <v>117</v>
      </c>
      <c r="Q39" s="149">
        <f>Z33</f>
        <v>0</v>
      </c>
      <c r="R39" s="105"/>
      <c r="S39" s="105"/>
    </row>
    <row r="40" spans="1:26" ht="11.25" customHeight="1">
      <c r="A40" s="105"/>
      <c r="B40" s="126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3"/>
      <c r="O40" s="105"/>
      <c r="P40" s="126"/>
      <c r="Q40" s="142"/>
      <c r="R40" s="105"/>
      <c r="S40" s="105"/>
    </row>
    <row r="41" spans="1:26" ht="11.25" customHeight="1">
      <c r="A41" s="105"/>
      <c r="B41" s="105" t="s">
        <v>118</v>
      </c>
      <c r="C41" s="152">
        <f>C31+C39</f>
        <v>0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42"/>
      <c r="N41" s="143"/>
      <c r="O41" s="105"/>
      <c r="P41" s="105" t="s">
        <v>118</v>
      </c>
      <c r="Q41" s="152">
        <f>Q31+Q39</f>
        <v>0</v>
      </c>
      <c r="R41" s="105"/>
      <c r="S41" s="105"/>
    </row>
    <row r="42" spans="1:26" ht="11.2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20"/>
      <c r="O42" s="105"/>
      <c r="P42" s="105"/>
      <c r="Q42" s="105"/>
      <c r="R42" s="105"/>
      <c r="S42" s="105"/>
    </row>
    <row r="43" spans="1:26" ht="11.25" customHeight="1">
      <c r="A43" s="105"/>
      <c r="B43" s="126" t="s">
        <v>119</v>
      </c>
      <c r="C43" s="154">
        <f>IF(C35&gt;0,PMT(C33/12,C35*12,-C41),0)</f>
        <v>0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9"/>
      <c r="O43" s="154"/>
      <c r="P43" s="156" t="s">
        <v>119</v>
      </c>
      <c r="Q43" s="154">
        <f>IF(Q35&gt;0,PMT(Q33/12,Q35*12,-Q41),0)</f>
        <v>0</v>
      </c>
      <c r="R43" s="105"/>
      <c r="S43" s="105"/>
    </row>
    <row r="44" spans="1:26" ht="11.25" customHeight="1">
      <c r="A44" s="105"/>
      <c r="B44" s="126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6"/>
      <c r="Q44" s="154"/>
      <c r="R44" s="105"/>
      <c r="S44" s="105"/>
    </row>
    <row r="45" spans="1:26" ht="11.25" customHeight="1">
      <c r="A45" s="105"/>
      <c r="B45" s="126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6"/>
      <c r="Q45" s="154"/>
      <c r="R45" s="105"/>
      <c r="S45" s="105"/>
    </row>
    <row r="46" spans="1:26" ht="11.25" customHeight="1">
      <c r="A46" s="105"/>
      <c r="B46" s="126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6"/>
      <c r="Q46" s="154"/>
      <c r="R46" s="105"/>
      <c r="S46" s="105"/>
    </row>
    <row r="47" spans="1:26" ht="11.25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</row>
    <row r="48" spans="1:26" ht="1.5" customHeight="1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5"/>
      <c r="S48" s="105"/>
    </row>
  </sheetData>
  <mergeCells count="6">
    <mergeCell ref="B1:C1"/>
    <mergeCell ref="B2:C2"/>
    <mergeCell ref="B3:C3"/>
    <mergeCell ref="P3:Q3"/>
    <mergeCell ref="B25:C25"/>
    <mergeCell ref="P25:Q25"/>
  </mergeCells>
  <printOptions horizontalCentered="1"/>
  <pageMargins left="0.75" right="0.75" top="0.7" bottom="1" header="0.3" footer="0.5"/>
  <pageSetup orientation="portrait" horizontalDpi="4294967292"/>
  <headerFooter>
    <oddFooter xml:space="preserve">&amp;L&amp;6                                                              This template was created by the South Dakota SBDC.&amp;R&amp;"Arial MT,Bold"&amp;8&amp;D     &amp;T                                           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4"/>
  <sheetViews>
    <sheetView view="pageBreakPreview" topLeftCell="B1" zoomScaleNormal="100" zoomScaleSheetLayoutView="100" workbookViewId="0">
      <pane ySplit="5" topLeftCell="A6" activePane="bottomLeft" state="frozen"/>
      <selection activeCell="K19" sqref="K19"/>
      <selection pane="bottomLeft" activeCell="F7" sqref="F7"/>
    </sheetView>
  </sheetViews>
  <sheetFormatPr defaultRowHeight="15" customHeight="1"/>
  <cols>
    <col min="1" max="1" width="6" style="161" bestFit="1" customWidth="1"/>
    <col min="2" max="2" width="11.5703125" style="162" bestFit="1" customWidth="1"/>
    <col min="3" max="3" width="9" style="162" bestFit="1" customWidth="1"/>
    <col min="4" max="4" width="10" style="162" bestFit="1" customWidth="1"/>
    <col min="5" max="5" width="11.5703125" style="162" bestFit="1" customWidth="1"/>
    <col min="6" max="7" width="6.85546875" style="160" customWidth="1"/>
    <col min="8" max="8" width="6.5703125" style="160" customWidth="1"/>
    <col min="9" max="9" width="7.5703125" style="160" customWidth="1"/>
    <col min="10" max="10" width="3.85546875" style="160" customWidth="1"/>
    <col min="11" max="11" width="4.140625" style="163" bestFit="1" customWidth="1"/>
    <col min="12" max="12" width="8.5703125" style="160" customWidth="1"/>
    <col min="13" max="14" width="6.140625" style="160" customWidth="1"/>
    <col min="15" max="15" width="8.5703125" style="160" customWidth="1"/>
    <col min="16" max="18" width="6.85546875" style="160" hidden="1" customWidth="1"/>
    <col min="19" max="19" width="7.5703125" style="160" hidden="1" customWidth="1"/>
    <col min="20" max="20" width="3.140625" style="160" customWidth="1"/>
    <col min="21" max="21" width="4.140625" style="164" customWidth="1"/>
    <col min="22" max="22" width="8.5703125" style="160" customWidth="1"/>
    <col min="23" max="24" width="6.140625" style="160" customWidth="1"/>
    <col min="25" max="25" width="8.5703125" style="160" customWidth="1"/>
    <col min="26" max="28" width="6.85546875" style="160" hidden="1" customWidth="1"/>
    <col min="29" max="29" width="7.5703125" style="160" hidden="1" customWidth="1"/>
    <col min="30" max="30" width="3.140625" style="160" customWidth="1"/>
    <col min="31" max="31" width="4.140625" style="164" bestFit="1" customWidth="1"/>
    <col min="32" max="32" width="8.5703125" style="160" customWidth="1"/>
    <col min="33" max="34" width="6.140625" style="160" customWidth="1"/>
    <col min="35" max="35" width="8.5703125" style="160" customWidth="1"/>
    <col min="36" max="38" width="6.85546875" style="160" hidden="1" customWidth="1"/>
    <col min="39" max="39" width="7.5703125" style="160" hidden="1" customWidth="1"/>
    <col min="40" max="40" width="3.7109375" style="160" customWidth="1"/>
    <col min="41" max="41" width="7.42578125" style="160" hidden="1" customWidth="1"/>
    <col min="42" max="16384" width="9.140625" style="160"/>
  </cols>
  <sheetData>
    <row r="1" spans="1:41" ht="15.75" customHeight="1">
      <c r="A1" s="165" t="e">
        <f>'Inc1'!#REF!</f>
        <v>#REF!</v>
      </c>
      <c r="B1" s="165"/>
      <c r="C1" s="165"/>
      <c r="D1" s="165"/>
      <c r="E1" s="165"/>
    </row>
    <row r="2" spans="1:41" s="166" customFormat="1" ht="15.75" customHeight="1">
      <c r="A2" s="168" t="s">
        <v>122</v>
      </c>
      <c r="B2" s="168"/>
      <c r="C2" s="168"/>
      <c r="D2" s="168"/>
      <c r="E2" s="168"/>
      <c r="K2" s="169" t="s">
        <v>123</v>
      </c>
      <c r="L2" s="169"/>
      <c r="M2" s="169"/>
      <c r="N2" s="169"/>
      <c r="O2" s="169"/>
      <c r="U2" s="169" t="s">
        <v>120</v>
      </c>
      <c r="V2" s="169"/>
      <c r="W2" s="169"/>
      <c r="X2" s="169"/>
      <c r="Y2" s="169"/>
      <c r="AE2" s="169" t="s">
        <v>121</v>
      </c>
      <c r="AF2" s="169"/>
      <c r="AG2" s="169"/>
      <c r="AH2" s="169"/>
      <c r="AI2" s="169"/>
    </row>
    <row r="3" spans="1:41" s="166" customFormat="1" ht="15.75" customHeight="1">
      <c r="A3" s="167"/>
      <c r="B3" s="167"/>
      <c r="C3" s="167"/>
      <c r="D3" s="167"/>
      <c r="E3" s="167"/>
      <c r="K3" s="170"/>
      <c r="L3" s="170"/>
      <c r="M3" s="170"/>
      <c r="N3" s="170"/>
      <c r="O3" s="170"/>
      <c r="U3" s="170"/>
      <c r="V3" s="170"/>
      <c r="W3" s="170"/>
      <c r="X3" s="170"/>
      <c r="Y3" s="170"/>
      <c r="AE3" s="170"/>
      <c r="AF3" s="170"/>
      <c r="AG3" s="170"/>
      <c r="AH3" s="170"/>
      <c r="AI3" s="170"/>
    </row>
    <row r="4" spans="1:41" ht="15" customHeight="1">
      <c r="A4" s="171" t="s">
        <v>124</v>
      </c>
      <c r="B4" s="173" t="s">
        <v>125</v>
      </c>
      <c r="C4" s="174" t="s">
        <v>126</v>
      </c>
      <c r="D4" s="176" t="s">
        <v>127</v>
      </c>
      <c r="E4" s="178" t="s">
        <v>128</v>
      </c>
      <c r="F4" s="179" t="s">
        <v>129</v>
      </c>
      <c r="G4" s="181" t="s">
        <v>130</v>
      </c>
      <c r="H4" s="183" t="s">
        <v>131</v>
      </c>
      <c r="I4" s="183" t="s">
        <v>132</v>
      </c>
      <c r="K4" s="184" t="s">
        <v>124</v>
      </c>
      <c r="L4" s="186" t="s">
        <v>125</v>
      </c>
      <c r="M4" s="179" t="s">
        <v>126</v>
      </c>
      <c r="N4" s="181" t="s">
        <v>127</v>
      </c>
      <c r="O4" s="187" t="s">
        <v>128</v>
      </c>
      <c r="P4" s="179" t="s">
        <v>129</v>
      </c>
      <c r="Q4" s="181" t="s">
        <v>130</v>
      </c>
      <c r="R4" s="183" t="s">
        <v>133</v>
      </c>
      <c r="S4" s="183" t="s">
        <v>114</v>
      </c>
      <c r="U4" s="184" t="s">
        <v>124</v>
      </c>
      <c r="V4" s="186" t="s">
        <v>125</v>
      </c>
      <c r="W4" s="179" t="s">
        <v>126</v>
      </c>
      <c r="X4" s="181" t="s">
        <v>127</v>
      </c>
      <c r="Y4" s="187" t="s">
        <v>128</v>
      </c>
      <c r="Z4" s="179" t="s">
        <v>129</v>
      </c>
      <c r="AA4" s="181" t="s">
        <v>130</v>
      </c>
      <c r="AB4" s="183" t="s">
        <v>133</v>
      </c>
      <c r="AC4" s="183" t="s">
        <v>114</v>
      </c>
      <c r="AE4" s="184" t="s">
        <v>124</v>
      </c>
      <c r="AF4" s="186" t="s">
        <v>125</v>
      </c>
      <c r="AG4" s="179" t="s">
        <v>126</v>
      </c>
      <c r="AH4" s="181" t="s">
        <v>127</v>
      </c>
      <c r="AI4" s="187" t="s">
        <v>128</v>
      </c>
      <c r="AJ4" s="179" t="s">
        <v>129</v>
      </c>
      <c r="AK4" s="181" t="s">
        <v>130</v>
      </c>
      <c r="AL4" s="183" t="s">
        <v>133</v>
      </c>
      <c r="AM4" s="183" t="s">
        <v>114</v>
      </c>
      <c r="AO4" s="188" t="s">
        <v>134</v>
      </c>
    </row>
    <row r="5" spans="1:41" s="164" customFormat="1" ht="15" customHeight="1">
      <c r="A5" s="172"/>
      <c r="B5" s="189" t="s">
        <v>135</v>
      </c>
      <c r="C5" s="175"/>
      <c r="D5" s="177"/>
      <c r="E5" s="190" t="s">
        <v>135</v>
      </c>
      <c r="F5" s="180"/>
      <c r="G5" s="182"/>
      <c r="H5" s="191" t="s">
        <v>136</v>
      </c>
      <c r="I5" s="192" t="s">
        <v>137</v>
      </c>
      <c r="K5" s="185"/>
      <c r="L5" s="193" t="s">
        <v>135</v>
      </c>
      <c r="M5" s="180"/>
      <c r="N5" s="182"/>
      <c r="O5" s="194" t="s">
        <v>135</v>
      </c>
      <c r="P5" s="180"/>
      <c r="Q5" s="182"/>
      <c r="R5" s="191" t="s">
        <v>138</v>
      </c>
      <c r="S5" s="192" t="s">
        <v>139</v>
      </c>
      <c r="U5" s="185"/>
      <c r="V5" s="193" t="s">
        <v>135</v>
      </c>
      <c r="W5" s="180"/>
      <c r="X5" s="182"/>
      <c r="Y5" s="194" t="s">
        <v>135</v>
      </c>
      <c r="Z5" s="180"/>
      <c r="AA5" s="182"/>
      <c r="AB5" s="191" t="s">
        <v>138</v>
      </c>
      <c r="AC5" s="192" t="s">
        <v>139</v>
      </c>
      <c r="AE5" s="185"/>
      <c r="AF5" s="193" t="s">
        <v>135</v>
      </c>
      <c r="AG5" s="180"/>
      <c r="AH5" s="182"/>
      <c r="AI5" s="194" t="s">
        <v>135</v>
      </c>
      <c r="AJ5" s="180"/>
      <c r="AK5" s="182"/>
      <c r="AL5" s="191" t="s">
        <v>138</v>
      </c>
      <c r="AM5" s="192" t="s">
        <v>139</v>
      </c>
      <c r="AO5" s="195" t="s">
        <v>140</v>
      </c>
    </row>
    <row r="6" spans="1:41" ht="15" customHeight="1">
      <c r="A6" s="196">
        <v>0</v>
      </c>
      <c r="B6" s="197"/>
      <c r="C6" s="197"/>
      <c r="D6" s="198"/>
      <c r="E6" s="198">
        <f>IF(Loan!C15-1=0,Loan!C19,0)</f>
        <v>20000</v>
      </c>
      <c r="F6" s="199">
        <f t="shared" ref="F6:F42" si="0">IF(E6&gt;0,SUM(D7:D18),0)</f>
        <v>3498.8934809258294</v>
      </c>
      <c r="G6" s="200">
        <f t="shared" ref="G6:G42" si="1">IF(E6-F6&gt;0,E6-F6,0)</f>
        <v>16501.106519074172</v>
      </c>
      <c r="H6" s="201">
        <f>IF(Loan!C15-1=0,Loan!C17,0)</f>
        <v>0</v>
      </c>
      <c r="I6" s="202"/>
      <c r="K6" s="203">
        <v>0</v>
      </c>
      <c r="L6" s="204"/>
      <c r="M6" s="204"/>
      <c r="N6" s="200"/>
      <c r="O6" s="200">
        <f>IF(Loan!Q15-1=0,Loan!Q19,0)</f>
        <v>0</v>
      </c>
      <c r="P6" s="199">
        <f t="shared" ref="P6:P42" si="2">IF(O6&gt;0,SUM(N7:N18),0)</f>
        <v>0</v>
      </c>
      <c r="Q6" s="200">
        <f t="shared" ref="Q6:Q42" si="3">IF(O6-P6&gt;0,O6-P6,0)</f>
        <v>0</v>
      </c>
      <c r="R6" s="201">
        <f>IF(Loan!Q15-1=0,Loan!Q17,0)</f>
        <v>0</v>
      </c>
      <c r="S6" s="202"/>
      <c r="U6" s="203">
        <v>0</v>
      </c>
      <c r="V6" s="204"/>
      <c r="W6" s="204"/>
      <c r="X6" s="200"/>
      <c r="Y6" s="200">
        <f>IF(Loan!C37-1=0,Loan!C41,0)</f>
        <v>0</v>
      </c>
      <c r="Z6" s="199">
        <f t="shared" ref="Z6:Z42" si="4">IF(Y6&gt;0,SUM(X7:X18),0)</f>
        <v>0</v>
      </c>
      <c r="AA6" s="200">
        <f t="shared" ref="AA6:AA42" si="5">IF(Y6-Z6&gt;0,Y6-Z6,0)</f>
        <v>0</v>
      </c>
      <c r="AB6" s="201">
        <f>IF(Loan!C37-1=0,Loan!C39,0)</f>
        <v>0</v>
      </c>
      <c r="AC6" s="202"/>
      <c r="AE6" s="203">
        <v>0</v>
      </c>
      <c r="AF6" s="204"/>
      <c r="AG6" s="204"/>
      <c r="AH6" s="200"/>
      <c r="AI6" s="200">
        <f>IF(Loan!Q37-1=0,Loan!Q41,0)</f>
        <v>0</v>
      </c>
      <c r="AJ6" s="199">
        <f t="shared" ref="AJ6:AJ42" si="6">IF(AI6&gt;0,SUM(AH7:AH18),0)</f>
        <v>0</v>
      </c>
      <c r="AK6" s="200">
        <f t="shared" ref="AK6:AK42" si="7">IF(AI6-AJ6&gt;0,AI6-AJ6,0)</f>
        <v>0</v>
      </c>
      <c r="AL6" s="201">
        <f>IF(Loan!Q37-1=0,Loan!Q39,0)</f>
        <v>0</v>
      </c>
      <c r="AM6" s="202"/>
    </row>
    <row r="7" spans="1:41" ht="15" customHeight="1">
      <c r="A7" s="205">
        <v>1</v>
      </c>
      <c r="B7" s="206">
        <f>IF(Loan!C$15=A7,Loan!C$19,IF(Am!E6&gt;0,Am!E6,0))</f>
        <v>20000</v>
      </c>
      <c r="C7" s="206">
        <f>B7*(Loan!C$11/12)</f>
        <v>108.33333333333334</v>
      </c>
      <c r="D7" s="207">
        <f>IF(B7&gt;0, IF(B7&lt;Loan!C$21, B7,Loan!C$21-Am!C7),0)</f>
        <v>282.98963104123754</v>
      </c>
      <c r="E7" s="207">
        <f t="shared" ref="E7:E54" si="8">B7-D7</f>
        <v>19717.010368958763</v>
      </c>
      <c r="F7" s="208">
        <f t="shared" si="0"/>
        <v>3517.8458206141772</v>
      </c>
      <c r="G7" s="209">
        <f t="shared" si="1"/>
        <v>16199.164548344586</v>
      </c>
      <c r="H7" s="210">
        <f>IF(H6&gt;0,H6-I7,IF(A7=Loan!C$15,Loan!C$17-I7,0))</f>
        <v>0</v>
      </c>
      <c r="I7" s="201">
        <f>IF(A7&gt;=Loan!C$15,IF(A7&lt;SUM(Loan!C$13*12)+Loan!C$15,Loan!C$17/SUM(Loan!C$13*12),0),0)</f>
        <v>0</v>
      </c>
      <c r="K7" s="211">
        <f t="shared" ref="K7:K54" si="9">K6+1</f>
        <v>1</v>
      </c>
      <c r="L7" s="212">
        <f>IF(Loan!Q$15=K7,Loan!Q$19,IF(Am!O6&gt;0,Am!O6,0))</f>
        <v>0</v>
      </c>
      <c r="M7" s="212">
        <f>L7*(Loan!Q$11/12)</f>
        <v>0</v>
      </c>
      <c r="N7" s="209">
        <f>IF(L7&gt;0, IF(L7&lt;Loan!Q$21, L7, Loan!Q$21-Am!M7),0)</f>
        <v>0</v>
      </c>
      <c r="O7" s="209">
        <f t="shared" ref="O7:O54" si="10">L7-N7</f>
        <v>0</v>
      </c>
      <c r="P7" s="208">
        <f t="shared" si="2"/>
        <v>0</v>
      </c>
      <c r="Q7" s="209">
        <f t="shared" si="3"/>
        <v>0</v>
      </c>
      <c r="R7" s="210">
        <f>IF(R6&gt;0,R6-S7,IF(K7=Loan!Q$15,Loan!Q$17-S7,0))</f>
        <v>0</v>
      </c>
      <c r="S7" s="201">
        <f>IF(K7&gt;=Loan!Q$15,IF(K7&lt;SUM(Loan!Q$13*12)+Loan!Q$15,Loan!Q$17/SUM(Loan!Q$13*12),0),0)</f>
        <v>0</v>
      </c>
      <c r="U7" s="211">
        <f t="shared" ref="U7:U54" si="11">U6+1</f>
        <v>1</v>
      </c>
      <c r="V7" s="212">
        <f>IF(Loan!C$37=U7,Loan!C$41,IF(Am!Y6&gt;0,Am!Y6,0))</f>
        <v>0</v>
      </c>
      <c r="W7" s="212">
        <f>V7*(Loan!C$33/12)</f>
        <v>0</v>
      </c>
      <c r="X7" s="209">
        <f>IF(V7&gt;0, IF(V7&lt;Loan!C$43, V7, Loan!C$43-Am!W7),0)</f>
        <v>0</v>
      </c>
      <c r="Y7" s="209">
        <f t="shared" ref="Y7:Y54" si="12">V7-X7</f>
        <v>0</v>
      </c>
      <c r="Z7" s="208">
        <f t="shared" si="4"/>
        <v>0</v>
      </c>
      <c r="AA7" s="209">
        <f t="shared" si="5"/>
        <v>0</v>
      </c>
      <c r="AB7" s="210">
        <f>IF(AB6&gt;0,AB6-AC7,IF(U7=Loan!C$37,Loan!C$39-AC7,0))</f>
        <v>0</v>
      </c>
      <c r="AC7" s="201">
        <f>IF(U7&gt;=Loan!C$37,IF(U7&lt;SUM(Loan!C$35*12)+Loan!C$37,Loan!C$39/SUM(Loan!C$35*12),0),0)</f>
        <v>0</v>
      </c>
      <c r="AE7" s="211">
        <f t="shared" ref="AE7:AE54" si="13">AE6+1</f>
        <v>1</v>
      </c>
      <c r="AF7" s="212">
        <f>IF(Loan!Q$37=AE7,Loan!Q$41,IF(Am!AI6&gt;0,Am!AI6,0))</f>
        <v>0</v>
      </c>
      <c r="AG7" s="212">
        <f>AF7*(Loan!Q$33/12)</f>
        <v>0</v>
      </c>
      <c r="AH7" s="209">
        <f>IF(AF7&gt;0, IF(AF7&lt;Loan!Q$43, AF7, Loan!Q$43-Am!AG7),0)</f>
        <v>0</v>
      </c>
      <c r="AI7" s="209">
        <f t="shared" ref="AI7:AI54" si="14">AF7-AH7</f>
        <v>0</v>
      </c>
      <c r="AJ7" s="208">
        <f t="shared" si="6"/>
        <v>0</v>
      </c>
      <c r="AK7" s="209">
        <f t="shared" si="7"/>
        <v>0</v>
      </c>
      <c r="AL7" s="210">
        <f>IF(AL6&gt;0,AL6-AM7,IF(AE7=Loan!Q$37,Loan!Q$39-AM7,0))</f>
        <v>0</v>
      </c>
      <c r="AM7" s="201">
        <f>IF(AE7&gt;=Loan!Q$37,IF(AE7&lt;SUM(Loan!Q$35*12)+Loan!Q$37,Loan!Q$39/SUM(Loan!Q$35*12),0),0)</f>
        <v>0</v>
      </c>
      <c r="AO7" s="201">
        <f t="shared" ref="AO7:AO42" si="15">AM7+AC7+S7+I7</f>
        <v>0</v>
      </c>
    </row>
    <row r="8" spans="1:41" ht="15" customHeight="1">
      <c r="A8" s="205">
        <f t="shared" ref="A8:A54" si="16">A7+1</f>
        <v>2</v>
      </c>
      <c r="B8" s="206">
        <f>IF(Loan!C$15=A8,Loan!C$19,IF(Am!E7&gt;0,Am!E7,0))</f>
        <v>19717.010368958763</v>
      </c>
      <c r="C8" s="206">
        <f>B8*(Loan!C$11/12)</f>
        <v>106.80047283185998</v>
      </c>
      <c r="D8" s="207">
        <f>IF(B8&gt;0, IF(B8&lt;Loan!C$21, B8,Loan!C$21-Am!C8),0)</f>
        <v>284.5224915427109</v>
      </c>
      <c r="E8" s="207">
        <f t="shared" si="8"/>
        <v>19432.487877416053</v>
      </c>
      <c r="F8" s="208">
        <f t="shared" si="0"/>
        <v>3536.9008188091702</v>
      </c>
      <c r="G8" s="209">
        <f t="shared" si="1"/>
        <v>15895.587058606883</v>
      </c>
      <c r="H8" s="210">
        <f>IF(H7&gt;0,H7-I8,IF(A8=Loan!C$15,Loan!C$17-I8,0))</f>
        <v>0</v>
      </c>
      <c r="I8" s="210">
        <f>IF(A8&gt;=Loan!C$15,IF(A8&lt;SUM(Loan!C$13*12)+Loan!C$15,Loan!C$17/SUM(Loan!C$13*12),0),0)</f>
        <v>0</v>
      </c>
      <c r="K8" s="211">
        <f t="shared" si="9"/>
        <v>2</v>
      </c>
      <c r="L8" s="212">
        <f>IF(Loan!Q$15=K8,Loan!Q$19,IF(Am!O7&gt;0,Am!O7,0))</f>
        <v>0</v>
      </c>
      <c r="M8" s="212">
        <f>L8*(Loan!Q$11/12)</f>
        <v>0</v>
      </c>
      <c r="N8" s="209">
        <f>IF(L8&gt;0, IF(L8&lt;Loan!Q$21, L8, Loan!Q$21-Am!M8),0)</f>
        <v>0</v>
      </c>
      <c r="O8" s="209">
        <f t="shared" si="10"/>
        <v>0</v>
      </c>
      <c r="P8" s="208">
        <f t="shared" si="2"/>
        <v>0</v>
      </c>
      <c r="Q8" s="209">
        <f t="shared" si="3"/>
        <v>0</v>
      </c>
      <c r="R8" s="210">
        <f>IF(R7&gt;0,R7-S8,IF(K8=Loan!Q$15,Loan!Q$17-S8,0))</f>
        <v>0</v>
      </c>
      <c r="S8" s="210">
        <f>IF(K8&gt;=Loan!Q$15,IF(K8&lt;SUM(Loan!Q$13*12)+Loan!Q$15,Loan!Q$17/SUM(Loan!Q$13*12),0),0)</f>
        <v>0</v>
      </c>
      <c r="U8" s="211">
        <f t="shared" si="11"/>
        <v>2</v>
      </c>
      <c r="V8" s="212">
        <f>IF(Loan!C$37=U8,Loan!C$41,IF(Am!Y7&gt;0,Am!Y7,0))</f>
        <v>0</v>
      </c>
      <c r="W8" s="212">
        <f>V8*(Loan!C$33/12)</f>
        <v>0</v>
      </c>
      <c r="X8" s="209">
        <f>IF(V8&gt;0, IF(V8&lt;Loan!C$43, V8, Loan!C$43-Am!W8),0)</f>
        <v>0</v>
      </c>
      <c r="Y8" s="209">
        <f t="shared" si="12"/>
        <v>0</v>
      </c>
      <c r="Z8" s="208">
        <f t="shared" si="4"/>
        <v>0</v>
      </c>
      <c r="AA8" s="209">
        <f t="shared" si="5"/>
        <v>0</v>
      </c>
      <c r="AB8" s="210">
        <f>IF(AB7&gt;0,AB7-AC8,IF(U8=Loan!C$37,Loan!C$39-AC8,0))</f>
        <v>0</v>
      </c>
      <c r="AC8" s="210">
        <f>IF(U8&gt;=Loan!C$37,IF(U8&lt;SUM(Loan!C$35*12)+Loan!C$37,Loan!C$39/SUM(Loan!C$35*12),0),0)</f>
        <v>0</v>
      </c>
      <c r="AE8" s="211">
        <f t="shared" si="13"/>
        <v>2</v>
      </c>
      <c r="AF8" s="212">
        <f>IF(Loan!Q$37=AE8,Loan!Q$41,IF(Am!AI7&gt;0,Am!AI7,0))</f>
        <v>0</v>
      </c>
      <c r="AG8" s="212">
        <f>AF8*(Loan!Q$33/12)</f>
        <v>0</v>
      </c>
      <c r="AH8" s="209">
        <f>IF(AF8&gt;0, IF(AF8&lt;Loan!Q$43, AF8, Loan!Q$43-Am!AG8),0)</f>
        <v>0</v>
      </c>
      <c r="AI8" s="209">
        <f t="shared" si="14"/>
        <v>0</v>
      </c>
      <c r="AJ8" s="208">
        <f t="shared" si="6"/>
        <v>0</v>
      </c>
      <c r="AK8" s="209">
        <f t="shared" si="7"/>
        <v>0</v>
      </c>
      <c r="AL8" s="210">
        <f>IF(AL7&gt;0,AL7-AM8,IF(AE8=Loan!Q$37,Loan!Q$39-AM8,0))</f>
        <v>0</v>
      </c>
      <c r="AM8" s="210">
        <f>IF(AE8&gt;=Loan!Q$37,IF(AE8&lt;SUM(Loan!Q$35*12)+Loan!Q$37,Loan!Q$39/SUM(Loan!Q$35*12),0),0)</f>
        <v>0</v>
      </c>
      <c r="AO8" s="210">
        <f t="shared" si="15"/>
        <v>0</v>
      </c>
    </row>
    <row r="9" spans="1:41" ht="15" customHeight="1">
      <c r="A9" s="205">
        <f t="shared" si="16"/>
        <v>3</v>
      </c>
      <c r="B9" s="206">
        <f>IF(Loan!C$15=A9,Loan!C$19,IF(Am!E8&gt;0,Am!E8,0))</f>
        <v>19432.487877416053</v>
      </c>
      <c r="C9" s="206">
        <f>B9*(Loan!C$11/12)</f>
        <v>105.25930933600362</v>
      </c>
      <c r="D9" s="207">
        <f>IF(B9&gt;0, IF(B9&lt;Loan!C$21, B9,Loan!C$21-Am!C9),0)</f>
        <v>286.06365503856722</v>
      </c>
      <c r="E9" s="207">
        <f t="shared" si="8"/>
        <v>19146.424222377485</v>
      </c>
      <c r="F9" s="208">
        <f t="shared" si="0"/>
        <v>3556.0590315777199</v>
      </c>
      <c r="G9" s="209">
        <f t="shared" si="1"/>
        <v>15590.365190799766</v>
      </c>
      <c r="H9" s="210">
        <f>IF(H8&gt;0,H8-I9,IF(A9=Loan!C$15,Loan!C$17-I9,0))</f>
        <v>0</v>
      </c>
      <c r="I9" s="210">
        <f>IF(A9&gt;=Loan!C$15,IF(A9&lt;SUM(Loan!C$13*12)+Loan!C$15,Loan!C$17/SUM(Loan!C$13*12),0),0)</f>
        <v>0</v>
      </c>
      <c r="K9" s="211">
        <f t="shared" si="9"/>
        <v>3</v>
      </c>
      <c r="L9" s="212">
        <f>IF(Loan!Q$15=K9,Loan!Q$19,IF(Am!O8&gt;0,Am!O8,0))</f>
        <v>0</v>
      </c>
      <c r="M9" s="212">
        <f>L9*(Loan!Q$11/12)</f>
        <v>0</v>
      </c>
      <c r="N9" s="209">
        <f>IF(L9&gt;0, IF(L9&lt;Loan!Q$21, L9, Loan!Q$21-Am!M9),0)</f>
        <v>0</v>
      </c>
      <c r="O9" s="209">
        <f t="shared" si="10"/>
        <v>0</v>
      </c>
      <c r="P9" s="208">
        <f t="shared" si="2"/>
        <v>0</v>
      </c>
      <c r="Q9" s="209">
        <f t="shared" si="3"/>
        <v>0</v>
      </c>
      <c r="R9" s="210">
        <f>IF(R8&gt;0,R8-S9,IF(K9=Loan!Q$15,Loan!Q$17-S9,0))</f>
        <v>0</v>
      </c>
      <c r="S9" s="210">
        <f>IF(K9&gt;=Loan!Q$15,IF(K9&lt;SUM(Loan!Q$13*12)+Loan!Q$15,Loan!Q$17/SUM(Loan!Q$13*12),0),0)</f>
        <v>0</v>
      </c>
      <c r="U9" s="211">
        <f t="shared" si="11"/>
        <v>3</v>
      </c>
      <c r="V9" s="212">
        <f>IF(Loan!C$37=U9,Loan!C$41,IF(Am!Y8&gt;0,Am!Y8,0))</f>
        <v>0</v>
      </c>
      <c r="W9" s="212">
        <f>V9*(Loan!C$33/12)</f>
        <v>0</v>
      </c>
      <c r="X9" s="209">
        <f>IF(V9&gt;0, IF(V9&lt;Loan!C$43, V9, Loan!C$43-Am!W9),0)</f>
        <v>0</v>
      </c>
      <c r="Y9" s="209">
        <f t="shared" si="12"/>
        <v>0</v>
      </c>
      <c r="Z9" s="208">
        <f t="shared" si="4"/>
        <v>0</v>
      </c>
      <c r="AA9" s="209">
        <f t="shared" si="5"/>
        <v>0</v>
      </c>
      <c r="AB9" s="210">
        <f>IF(AB8&gt;0,AB8-AC9,IF(U9=Loan!C$37,Loan!C$39-AC9,0))</f>
        <v>0</v>
      </c>
      <c r="AC9" s="210">
        <f>IF(U9&gt;=Loan!C$37,IF(U9&lt;SUM(Loan!C$35*12)+Loan!C$37,Loan!C$39/SUM(Loan!C$35*12),0),0)</f>
        <v>0</v>
      </c>
      <c r="AE9" s="211">
        <f t="shared" si="13"/>
        <v>3</v>
      </c>
      <c r="AF9" s="212">
        <f>IF(Loan!Q$37=AE9,Loan!Q$41,IF(Am!AI8&gt;0,Am!AI8,0))</f>
        <v>0</v>
      </c>
      <c r="AG9" s="212">
        <f>AF9*(Loan!Q$33/12)</f>
        <v>0</v>
      </c>
      <c r="AH9" s="209">
        <f>IF(AF9&gt;0, IF(AF9&lt;Loan!Q$43, AF9, Loan!Q$43-Am!AG9),0)</f>
        <v>0</v>
      </c>
      <c r="AI9" s="209">
        <f t="shared" si="14"/>
        <v>0</v>
      </c>
      <c r="AJ9" s="208">
        <f t="shared" si="6"/>
        <v>0</v>
      </c>
      <c r="AK9" s="209">
        <f t="shared" si="7"/>
        <v>0</v>
      </c>
      <c r="AL9" s="210">
        <f>IF(AL8&gt;0,AL8-AM9,IF(AE9=Loan!Q$37,Loan!Q$39-AM9,0))</f>
        <v>0</v>
      </c>
      <c r="AM9" s="210">
        <f>IF(AE9&gt;=Loan!Q$37,IF(AE9&lt;SUM(Loan!Q$35*12)+Loan!Q$37,Loan!Q$39/SUM(Loan!Q$35*12),0),0)</f>
        <v>0</v>
      </c>
      <c r="AO9" s="210">
        <f t="shared" si="15"/>
        <v>0</v>
      </c>
    </row>
    <row r="10" spans="1:41" ht="15" customHeight="1">
      <c r="A10" s="205">
        <f t="shared" si="16"/>
        <v>4</v>
      </c>
      <c r="B10" s="206">
        <f>IF(Loan!C$15=A10,Loan!C$19,IF(Am!E9&gt;0,Am!E9,0))</f>
        <v>19146.424222377485</v>
      </c>
      <c r="C10" s="206">
        <f>B10*(Loan!C$11/12)</f>
        <v>103.70979787121138</v>
      </c>
      <c r="D10" s="207">
        <f>IF(B10&gt;0, IF(B10&lt;Loan!C$21, B10,Loan!C$21-Am!C10),0)</f>
        <v>287.61316650335948</v>
      </c>
      <c r="E10" s="207">
        <f t="shared" si="8"/>
        <v>18858.811055874125</v>
      </c>
      <c r="F10" s="208">
        <f t="shared" si="0"/>
        <v>3575.3210179987655</v>
      </c>
      <c r="G10" s="209">
        <f t="shared" si="1"/>
        <v>15283.490037875359</v>
      </c>
      <c r="H10" s="210">
        <f>IF(H9&gt;0,H9-I10,IF(A10=Loan!C$15,Loan!C$17-I10,0))</f>
        <v>0</v>
      </c>
      <c r="I10" s="210">
        <f>IF(A10&gt;=Loan!C$15,IF(A10&lt;SUM(Loan!C$13*12)+Loan!C$15,Loan!C$17/SUM(Loan!C$13*12),0),0)</f>
        <v>0</v>
      </c>
      <c r="K10" s="211">
        <f t="shared" si="9"/>
        <v>4</v>
      </c>
      <c r="L10" s="212">
        <f>IF(Loan!Q$15=K10,Loan!Q$19,IF(Am!O9&gt;0,Am!O9,0))</f>
        <v>0</v>
      </c>
      <c r="M10" s="212">
        <f>L10*(Loan!Q$11/12)</f>
        <v>0</v>
      </c>
      <c r="N10" s="209">
        <f>IF(L10&gt;0, IF(L10&lt;Loan!Q$21, L10, Loan!Q$21-Am!M10),0)</f>
        <v>0</v>
      </c>
      <c r="O10" s="209">
        <f t="shared" si="10"/>
        <v>0</v>
      </c>
      <c r="P10" s="208">
        <f t="shared" si="2"/>
        <v>0</v>
      </c>
      <c r="Q10" s="209">
        <f t="shared" si="3"/>
        <v>0</v>
      </c>
      <c r="R10" s="210">
        <f>IF(R9&gt;0,R9-S10,IF(K10=Loan!Q$15,Loan!Q$17-S10,0))</f>
        <v>0</v>
      </c>
      <c r="S10" s="210">
        <f>IF(K10&gt;=Loan!Q$15,IF(K10&lt;SUM(Loan!Q$13*12)+Loan!Q$15,Loan!Q$17/SUM(Loan!Q$13*12),0),0)</f>
        <v>0</v>
      </c>
      <c r="U10" s="211">
        <f t="shared" si="11"/>
        <v>4</v>
      </c>
      <c r="V10" s="212">
        <f>IF(Loan!C$37=U10,Loan!C$41,IF(Am!Y9&gt;0,Am!Y9,0))</f>
        <v>0</v>
      </c>
      <c r="W10" s="212">
        <f>V10*(Loan!C$33/12)</f>
        <v>0</v>
      </c>
      <c r="X10" s="209">
        <f>IF(V10&gt;0, IF(V10&lt;Loan!C$43, V10, Loan!C$43-Am!W10),0)</f>
        <v>0</v>
      </c>
      <c r="Y10" s="209">
        <f t="shared" si="12"/>
        <v>0</v>
      </c>
      <c r="Z10" s="208">
        <f t="shared" si="4"/>
        <v>0</v>
      </c>
      <c r="AA10" s="209">
        <f t="shared" si="5"/>
        <v>0</v>
      </c>
      <c r="AB10" s="210">
        <f>IF(AB9&gt;0,AB9-AC10,IF(U10=Loan!C$37,Loan!C$39-AC10,0))</f>
        <v>0</v>
      </c>
      <c r="AC10" s="210">
        <f>IF(U10&gt;=Loan!C$37,IF(U10&lt;SUM(Loan!C$35*12)+Loan!C$37,Loan!C$39/SUM(Loan!C$35*12),0),0)</f>
        <v>0</v>
      </c>
      <c r="AE10" s="211">
        <f t="shared" si="13"/>
        <v>4</v>
      </c>
      <c r="AF10" s="212">
        <f>IF(Loan!Q$37=AE10,Loan!Q$41,IF(Am!AI9&gt;0,Am!AI9,0))</f>
        <v>0</v>
      </c>
      <c r="AG10" s="212">
        <f>AF10*(Loan!Q$33/12)</f>
        <v>0</v>
      </c>
      <c r="AH10" s="209">
        <f>IF(AF10&gt;0, IF(AF10&lt;Loan!Q$43, AF10, Loan!Q$43-Am!AG10),0)</f>
        <v>0</v>
      </c>
      <c r="AI10" s="209">
        <f t="shared" si="14"/>
        <v>0</v>
      </c>
      <c r="AJ10" s="208">
        <f t="shared" si="6"/>
        <v>0</v>
      </c>
      <c r="AK10" s="209">
        <f t="shared" si="7"/>
        <v>0</v>
      </c>
      <c r="AL10" s="210">
        <f>IF(AL9&gt;0,AL9-AM10,IF(AE10=Loan!Q$37,Loan!Q$39-AM10,0))</f>
        <v>0</v>
      </c>
      <c r="AM10" s="210">
        <f>IF(AE10&gt;=Loan!Q$37,IF(AE10&lt;SUM(Loan!Q$35*12)+Loan!Q$37,Loan!Q$39/SUM(Loan!Q$35*12),0),0)</f>
        <v>0</v>
      </c>
      <c r="AO10" s="210">
        <f t="shared" si="15"/>
        <v>0</v>
      </c>
    </row>
    <row r="11" spans="1:41" ht="15" customHeight="1">
      <c r="A11" s="205">
        <f t="shared" si="16"/>
        <v>5</v>
      </c>
      <c r="B11" s="206">
        <f>IF(Loan!C$15=A11,Loan!C$19,IF(Am!E10&gt;0,Am!E10,0))</f>
        <v>18858.811055874125</v>
      </c>
      <c r="C11" s="206">
        <f>B11*(Loan!C$11/12)</f>
        <v>102.15189321931818</v>
      </c>
      <c r="D11" s="207">
        <f>IF(B11&gt;0, IF(B11&lt;Loan!C$21, B11,Loan!C$21-Am!C11),0)</f>
        <v>289.17107115525266</v>
      </c>
      <c r="E11" s="207">
        <f t="shared" si="8"/>
        <v>18569.639984718873</v>
      </c>
      <c r="F11" s="208">
        <f t="shared" si="0"/>
        <v>3594.6873401795924</v>
      </c>
      <c r="G11" s="209">
        <f t="shared" si="1"/>
        <v>14974.95264453928</v>
      </c>
      <c r="H11" s="210">
        <f>IF(H10&gt;0,H10-I11,IF(A11=Loan!C$15,Loan!C$17-I11,0))</f>
        <v>0</v>
      </c>
      <c r="I11" s="210">
        <f>IF(A11&gt;=Loan!C$15,IF(A11&lt;SUM(Loan!C$13*12)+Loan!C$15,Loan!C$17/SUM(Loan!C$13*12),0),0)</f>
        <v>0</v>
      </c>
      <c r="K11" s="211">
        <f t="shared" si="9"/>
        <v>5</v>
      </c>
      <c r="L11" s="212">
        <f>IF(Loan!Q$15=K11,Loan!Q$19,IF(Am!O10&gt;0,Am!O10,0))</f>
        <v>0</v>
      </c>
      <c r="M11" s="212">
        <f>L11*(Loan!Q$11/12)</f>
        <v>0</v>
      </c>
      <c r="N11" s="209">
        <f>IF(L11&gt;0, IF(L11&lt;Loan!Q$21, L11, Loan!Q$21-Am!M11),0)</f>
        <v>0</v>
      </c>
      <c r="O11" s="209">
        <f t="shared" si="10"/>
        <v>0</v>
      </c>
      <c r="P11" s="208">
        <f t="shared" si="2"/>
        <v>0</v>
      </c>
      <c r="Q11" s="209">
        <f t="shared" si="3"/>
        <v>0</v>
      </c>
      <c r="R11" s="210">
        <f>IF(R10&gt;0,R10-S11,IF(K11=Loan!Q$15,Loan!Q$17-S11,0))</f>
        <v>0</v>
      </c>
      <c r="S11" s="210">
        <f>IF(K11&gt;=Loan!Q$15,IF(K11&lt;SUM(Loan!Q$13*12)+Loan!Q$15,Loan!Q$17/SUM(Loan!Q$13*12),0),0)</f>
        <v>0</v>
      </c>
      <c r="U11" s="211">
        <f t="shared" si="11"/>
        <v>5</v>
      </c>
      <c r="V11" s="212">
        <f>IF(Loan!C$37=U11,Loan!C$41,IF(Am!Y10&gt;0,Am!Y10,0))</f>
        <v>0</v>
      </c>
      <c r="W11" s="212">
        <f>V11*(Loan!C$33/12)</f>
        <v>0</v>
      </c>
      <c r="X11" s="209">
        <f>IF(V11&gt;0, IF(V11&lt;Loan!C$43, V11, Loan!C$43-Am!W11),0)</f>
        <v>0</v>
      </c>
      <c r="Y11" s="209">
        <f t="shared" si="12"/>
        <v>0</v>
      </c>
      <c r="Z11" s="208">
        <f t="shared" si="4"/>
        <v>0</v>
      </c>
      <c r="AA11" s="209">
        <f t="shared" si="5"/>
        <v>0</v>
      </c>
      <c r="AB11" s="210">
        <f>IF(AB10&gt;0,AB10-AC11,IF(U11=Loan!C$37,Loan!C$39-AC11,0))</f>
        <v>0</v>
      </c>
      <c r="AC11" s="210">
        <f>IF(U11&gt;=Loan!C$37,IF(U11&lt;SUM(Loan!C$35*12)+Loan!C$37,Loan!C$39/SUM(Loan!C$35*12),0),0)</f>
        <v>0</v>
      </c>
      <c r="AE11" s="211">
        <f t="shared" si="13"/>
        <v>5</v>
      </c>
      <c r="AF11" s="212">
        <f>IF(Loan!Q$37=AE11,Loan!Q$41,IF(Am!AI10&gt;0,Am!AI10,0))</f>
        <v>0</v>
      </c>
      <c r="AG11" s="212">
        <f>AF11*(Loan!Q$33/12)</f>
        <v>0</v>
      </c>
      <c r="AH11" s="209">
        <f>IF(AF11&gt;0, IF(AF11&lt;Loan!Q$43, AF11, Loan!Q$43-Am!AG11),0)</f>
        <v>0</v>
      </c>
      <c r="AI11" s="209">
        <f t="shared" si="14"/>
        <v>0</v>
      </c>
      <c r="AJ11" s="208">
        <f t="shared" si="6"/>
        <v>0</v>
      </c>
      <c r="AK11" s="209">
        <f t="shared" si="7"/>
        <v>0</v>
      </c>
      <c r="AL11" s="210">
        <f>IF(AL10&gt;0,AL10-AM11,IF(AE11=Loan!Q$37,Loan!Q$39-AM11,0))</f>
        <v>0</v>
      </c>
      <c r="AM11" s="210">
        <f>IF(AE11&gt;=Loan!Q$37,IF(AE11&lt;SUM(Loan!Q$35*12)+Loan!Q$37,Loan!Q$39/SUM(Loan!Q$35*12),0),0)</f>
        <v>0</v>
      </c>
      <c r="AO11" s="210">
        <f t="shared" si="15"/>
        <v>0</v>
      </c>
    </row>
    <row r="12" spans="1:41" ht="15" customHeight="1">
      <c r="A12" s="205">
        <f t="shared" si="16"/>
        <v>6</v>
      </c>
      <c r="B12" s="206">
        <f>IF(Loan!C$15=A12,Loan!C$19,IF(Am!E11&gt;0,Am!E11,0))</f>
        <v>18569.639984718873</v>
      </c>
      <c r="C12" s="206">
        <f>B12*(Loan!C$11/12)</f>
        <v>100.58554991722723</v>
      </c>
      <c r="D12" s="207">
        <f>IF(B12&gt;0, IF(B12&lt;Loan!C$21, B12,Loan!C$21-Am!C12),0)</f>
        <v>290.73741445734362</v>
      </c>
      <c r="E12" s="207">
        <f t="shared" si="8"/>
        <v>18278.902570261529</v>
      </c>
      <c r="F12" s="208">
        <f t="shared" si="0"/>
        <v>3614.1585632722313</v>
      </c>
      <c r="G12" s="209">
        <f t="shared" si="1"/>
        <v>14664.744006989298</v>
      </c>
      <c r="H12" s="210">
        <f>IF(H11&gt;0,H11-I12,IF(A12=Loan!C$15,Loan!C$17-I12,0))</f>
        <v>0</v>
      </c>
      <c r="I12" s="210">
        <f>IF(A12&gt;=Loan!C$15,IF(A12&lt;SUM(Loan!C$13*12)+Loan!C$15,Loan!C$17/SUM(Loan!C$13*12),0),0)</f>
        <v>0</v>
      </c>
      <c r="K12" s="211">
        <f t="shared" si="9"/>
        <v>6</v>
      </c>
      <c r="L12" s="212">
        <f>IF(Loan!Q$15=K12,Loan!Q$19,IF(Am!O11&gt;0,Am!O11,0))</f>
        <v>0</v>
      </c>
      <c r="M12" s="212">
        <f>L12*(Loan!Q$11/12)</f>
        <v>0</v>
      </c>
      <c r="N12" s="209">
        <f>IF(L12&gt;0, IF(L12&lt;Loan!Q$21, L12, Loan!Q$21-Am!M12),0)</f>
        <v>0</v>
      </c>
      <c r="O12" s="209">
        <f t="shared" si="10"/>
        <v>0</v>
      </c>
      <c r="P12" s="208">
        <f t="shared" si="2"/>
        <v>0</v>
      </c>
      <c r="Q12" s="209">
        <f t="shared" si="3"/>
        <v>0</v>
      </c>
      <c r="R12" s="210">
        <f>IF(R11&gt;0,R11-S12,IF(K12=Loan!Q$15,Loan!Q$17-S12,0))</f>
        <v>0</v>
      </c>
      <c r="S12" s="210">
        <f>IF(K12&gt;=Loan!Q$15,IF(K12&lt;SUM(Loan!Q$13*12)+Loan!Q$15,Loan!Q$17/SUM(Loan!Q$13*12),0),0)</f>
        <v>0</v>
      </c>
      <c r="U12" s="211">
        <f t="shared" si="11"/>
        <v>6</v>
      </c>
      <c r="V12" s="212">
        <f>IF(Loan!C$37=U12,Loan!C$41,IF(Am!Y11&gt;0,Am!Y11,0))</f>
        <v>0</v>
      </c>
      <c r="W12" s="212">
        <f>V12*(Loan!C$33/12)</f>
        <v>0</v>
      </c>
      <c r="X12" s="209">
        <f>IF(V12&gt;0, IF(V12&lt;Loan!C$43, V12, Loan!C$43-Am!W12),0)</f>
        <v>0</v>
      </c>
      <c r="Y12" s="209">
        <f t="shared" si="12"/>
        <v>0</v>
      </c>
      <c r="Z12" s="208">
        <f t="shared" si="4"/>
        <v>0</v>
      </c>
      <c r="AA12" s="209">
        <f t="shared" si="5"/>
        <v>0</v>
      </c>
      <c r="AB12" s="210">
        <f>IF(AB11&gt;0,AB11-AC12,IF(U12=Loan!C$37,Loan!C$39-AC12,0))</f>
        <v>0</v>
      </c>
      <c r="AC12" s="210">
        <f>IF(U12&gt;=Loan!C$37,IF(U12&lt;SUM(Loan!C$35*12)+Loan!C$37,Loan!C$39/SUM(Loan!C$35*12),0),0)</f>
        <v>0</v>
      </c>
      <c r="AE12" s="211">
        <f t="shared" si="13"/>
        <v>6</v>
      </c>
      <c r="AF12" s="212">
        <f>IF(Loan!Q$37=AE12,Loan!Q$41,IF(Am!AI11&gt;0,Am!AI11,0))</f>
        <v>0</v>
      </c>
      <c r="AG12" s="212">
        <f>AF12*(Loan!Q$33/12)</f>
        <v>0</v>
      </c>
      <c r="AH12" s="209">
        <f>IF(AF12&gt;0, IF(AF12&lt;Loan!Q$43, AF12, Loan!Q$43-Am!AG12),0)</f>
        <v>0</v>
      </c>
      <c r="AI12" s="209">
        <f t="shared" si="14"/>
        <v>0</v>
      </c>
      <c r="AJ12" s="208">
        <f t="shared" si="6"/>
        <v>0</v>
      </c>
      <c r="AK12" s="209">
        <f t="shared" si="7"/>
        <v>0</v>
      </c>
      <c r="AL12" s="210">
        <f>IF(AL11&gt;0,AL11-AM12,IF(AE12=Loan!Q$37,Loan!Q$39-AM12,0))</f>
        <v>0</v>
      </c>
      <c r="AM12" s="210">
        <f>IF(AE12&gt;=Loan!Q$37,IF(AE12&lt;SUM(Loan!Q$35*12)+Loan!Q$37,Loan!Q$39/SUM(Loan!Q$35*12),0),0)</f>
        <v>0</v>
      </c>
      <c r="AO12" s="210">
        <f t="shared" si="15"/>
        <v>0</v>
      </c>
    </row>
    <row r="13" spans="1:41" ht="15" customHeight="1">
      <c r="A13" s="205">
        <f t="shared" si="16"/>
        <v>7</v>
      </c>
      <c r="B13" s="206">
        <f>IF(Loan!C$15=A13,Loan!C$19,IF(Am!E12&gt;0,Am!E12,0))</f>
        <v>18278.902570261529</v>
      </c>
      <c r="C13" s="206">
        <f>B13*(Loan!C$11/12)</f>
        <v>99.010722255583289</v>
      </c>
      <c r="D13" s="207">
        <f>IF(B13&gt;0, IF(B13&lt;Loan!C$21, B13,Loan!C$21-Am!C13),0)</f>
        <v>292.31224211898757</v>
      </c>
      <c r="E13" s="207">
        <f t="shared" si="8"/>
        <v>17986.590328142542</v>
      </c>
      <c r="F13" s="208">
        <f t="shared" si="0"/>
        <v>3633.7352554899567</v>
      </c>
      <c r="G13" s="209">
        <f t="shared" si="1"/>
        <v>14352.855072652585</v>
      </c>
      <c r="H13" s="210">
        <f>IF(H12&gt;0,H12-I13,IF(A13=Loan!C$15,Loan!C$17-I13,0))</f>
        <v>0</v>
      </c>
      <c r="I13" s="210">
        <f>IF(A13&gt;=Loan!C$15,IF(A13&lt;SUM(Loan!C$13*12)+Loan!C$15,Loan!C$17/SUM(Loan!C$13*12),0),0)</f>
        <v>0</v>
      </c>
      <c r="K13" s="211">
        <f t="shared" si="9"/>
        <v>7</v>
      </c>
      <c r="L13" s="212">
        <f>IF(Loan!Q$15=K13,Loan!Q$19,IF(Am!O12&gt;0,Am!O12,0))</f>
        <v>0</v>
      </c>
      <c r="M13" s="212">
        <f>L13*(Loan!Q$11/12)</f>
        <v>0</v>
      </c>
      <c r="N13" s="209">
        <f>IF(L13&gt;0, IF(L13&lt;Loan!Q$21, L13, Loan!Q$21-Am!M13),0)</f>
        <v>0</v>
      </c>
      <c r="O13" s="209">
        <f t="shared" si="10"/>
        <v>0</v>
      </c>
      <c r="P13" s="208">
        <f t="shared" si="2"/>
        <v>0</v>
      </c>
      <c r="Q13" s="209">
        <f t="shared" si="3"/>
        <v>0</v>
      </c>
      <c r="R13" s="210">
        <f>IF(R12&gt;0,R12-S13,IF(K13=Loan!Q$15,Loan!Q$17-S13,0))</f>
        <v>0</v>
      </c>
      <c r="S13" s="210">
        <f>IF(K13&gt;=Loan!Q$15,IF(K13&lt;SUM(Loan!Q$13*12)+Loan!Q$15,Loan!Q$17/SUM(Loan!Q$13*12),0),0)</f>
        <v>0</v>
      </c>
      <c r="U13" s="211">
        <f t="shared" si="11"/>
        <v>7</v>
      </c>
      <c r="V13" s="212">
        <f>IF(Loan!C$37=U13,Loan!C$41,IF(Am!Y12&gt;0,Am!Y12,0))</f>
        <v>0</v>
      </c>
      <c r="W13" s="212">
        <f>V13*(Loan!C$33/12)</f>
        <v>0</v>
      </c>
      <c r="X13" s="209">
        <f>IF(V13&gt;0, IF(V13&lt;Loan!C$43, V13, Loan!C$43-Am!W13),0)</f>
        <v>0</v>
      </c>
      <c r="Y13" s="209">
        <f t="shared" si="12"/>
        <v>0</v>
      </c>
      <c r="Z13" s="208">
        <f t="shared" si="4"/>
        <v>0</v>
      </c>
      <c r="AA13" s="209">
        <f t="shared" si="5"/>
        <v>0</v>
      </c>
      <c r="AB13" s="210">
        <f>IF(AB12&gt;0,AB12-AC13,IF(U13=Loan!C$37,Loan!C$39-AC13,0))</f>
        <v>0</v>
      </c>
      <c r="AC13" s="210">
        <f>IF(U13&gt;=Loan!C$37,IF(U13&lt;SUM(Loan!C$35*12)+Loan!C$37,Loan!C$39/SUM(Loan!C$35*12),0),0)</f>
        <v>0</v>
      </c>
      <c r="AE13" s="211">
        <f t="shared" si="13"/>
        <v>7</v>
      </c>
      <c r="AF13" s="212">
        <f>IF(Loan!Q$37=AE13,Loan!Q$41,IF(Am!AI12&gt;0,Am!AI12,0))</f>
        <v>0</v>
      </c>
      <c r="AG13" s="212">
        <f>AF13*(Loan!Q$33/12)</f>
        <v>0</v>
      </c>
      <c r="AH13" s="209">
        <f>IF(AF13&gt;0, IF(AF13&lt;Loan!Q$43, AF13, Loan!Q$43-Am!AG13),0)</f>
        <v>0</v>
      </c>
      <c r="AI13" s="209">
        <f t="shared" si="14"/>
        <v>0</v>
      </c>
      <c r="AJ13" s="208">
        <f t="shared" si="6"/>
        <v>0</v>
      </c>
      <c r="AK13" s="209">
        <f t="shared" si="7"/>
        <v>0</v>
      </c>
      <c r="AL13" s="210">
        <f>IF(AL12&gt;0,AL12-AM13,IF(AE13=Loan!Q$37,Loan!Q$39-AM13,0))</f>
        <v>0</v>
      </c>
      <c r="AM13" s="210">
        <f>IF(AE13&gt;=Loan!Q$37,IF(AE13&lt;SUM(Loan!Q$35*12)+Loan!Q$37,Loan!Q$39/SUM(Loan!Q$35*12),0),0)</f>
        <v>0</v>
      </c>
      <c r="AO13" s="210">
        <f t="shared" si="15"/>
        <v>0</v>
      </c>
    </row>
    <row r="14" spans="1:41" ht="15" customHeight="1">
      <c r="A14" s="205">
        <f t="shared" si="16"/>
        <v>8</v>
      </c>
      <c r="B14" s="206">
        <f>IF(Loan!C$15=A14,Loan!C$19,IF(Am!E13&gt;0,Am!E13,0))</f>
        <v>17986.590328142542</v>
      </c>
      <c r="C14" s="206">
        <f>B14*(Loan!C$11/12)</f>
        <v>97.42736427743877</v>
      </c>
      <c r="D14" s="207">
        <f>IF(B14&gt;0, IF(B14&lt;Loan!C$21, B14,Loan!C$21-Am!C14),0)</f>
        <v>293.8956000971321</v>
      </c>
      <c r="E14" s="207">
        <f t="shared" si="8"/>
        <v>17692.694728045408</v>
      </c>
      <c r="F14" s="208">
        <f t="shared" si="0"/>
        <v>3653.4179881238606</v>
      </c>
      <c r="G14" s="209">
        <f t="shared" si="1"/>
        <v>14039.276739921548</v>
      </c>
      <c r="H14" s="210">
        <f>IF(H13&gt;0,H13-I14,IF(A14=Loan!C$15,Loan!C$17-I14,0))</f>
        <v>0</v>
      </c>
      <c r="I14" s="210">
        <f>IF(A14&gt;=Loan!C$15,IF(A14&lt;SUM(Loan!C$13*12)+Loan!C$15,Loan!C$17/SUM(Loan!C$13*12),0),0)</f>
        <v>0</v>
      </c>
      <c r="K14" s="211">
        <f t="shared" si="9"/>
        <v>8</v>
      </c>
      <c r="L14" s="212">
        <f>IF(Loan!Q$15=K14,Loan!Q$19,IF(Am!O13&gt;0,Am!O13,0))</f>
        <v>0</v>
      </c>
      <c r="M14" s="212">
        <f>L14*(Loan!Q$11/12)</f>
        <v>0</v>
      </c>
      <c r="N14" s="209">
        <f>IF(L14&gt;0, IF(L14&lt;Loan!Q$21, L14, Loan!Q$21-Am!M14),0)</f>
        <v>0</v>
      </c>
      <c r="O14" s="209">
        <f t="shared" si="10"/>
        <v>0</v>
      </c>
      <c r="P14" s="208">
        <f t="shared" si="2"/>
        <v>0</v>
      </c>
      <c r="Q14" s="209">
        <f t="shared" si="3"/>
        <v>0</v>
      </c>
      <c r="R14" s="210">
        <f>IF(R13&gt;0,R13-S14,IF(K14=Loan!Q$15,Loan!Q$17-S14,0))</f>
        <v>0</v>
      </c>
      <c r="S14" s="210">
        <f>IF(K14&gt;=Loan!Q$15,IF(K14&lt;SUM(Loan!Q$13*12)+Loan!Q$15,Loan!Q$17/SUM(Loan!Q$13*12),0),0)</f>
        <v>0</v>
      </c>
      <c r="U14" s="211">
        <f t="shared" si="11"/>
        <v>8</v>
      </c>
      <c r="V14" s="212">
        <f>IF(Loan!C$37=U14,Loan!C$41,IF(Am!Y13&gt;0,Am!Y13,0))</f>
        <v>0</v>
      </c>
      <c r="W14" s="212">
        <f>V14*(Loan!C$33/12)</f>
        <v>0</v>
      </c>
      <c r="X14" s="209">
        <f>IF(V14&gt;0, IF(V14&lt;Loan!C$43, V14, Loan!C$43-Am!W14),0)</f>
        <v>0</v>
      </c>
      <c r="Y14" s="209">
        <f t="shared" si="12"/>
        <v>0</v>
      </c>
      <c r="Z14" s="208">
        <f t="shared" si="4"/>
        <v>0</v>
      </c>
      <c r="AA14" s="209">
        <f t="shared" si="5"/>
        <v>0</v>
      </c>
      <c r="AB14" s="210">
        <f>IF(AB13&gt;0,AB13-AC14,IF(U14=Loan!C$37,Loan!C$39-AC14,0))</f>
        <v>0</v>
      </c>
      <c r="AC14" s="210">
        <f>IF(U14&gt;=Loan!C$37,IF(U14&lt;SUM(Loan!C$35*12)+Loan!C$37,Loan!C$39/SUM(Loan!C$35*12),0),0)</f>
        <v>0</v>
      </c>
      <c r="AE14" s="211">
        <f t="shared" si="13"/>
        <v>8</v>
      </c>
      <c r="AF14" s="212">
        <f>IF(Loan!Q$37=AE14,Loan!Q$41,IF(Am!AI13&gt;0,Am!AI13,0))</f>
        <v>0</v>
      </c>
      <c r="AG14" s="212">
        <f>AF14*(Loan!Q$33/12)</f>
        <v>0</v>
      </c>
      <c r="AH14" s="209">
        <f>IF(AF14&gt;0, IF(AF14&lt;Loan!Q$43, AF14, Loan!Q$43-Am!AG14),0)</f>
        <v>0</v>
      </c>
      <c r="AI14" s="209">
        <f t="shared" si="14"/>
        <v>0</v>
      </c>
      <c r="AJ14" s="208">
        <f t="shared" si="6"/>
        <v>0</v>
      </c>
      <c r="AK14" s="209">
        <f t="shared" si="7"/>
        <v>0</v>
      </c>
      <c r="AL14" s="210">
        <f>IF(AL13&gt;0,AL13-AM14,IF(AE14=Loan!Q$37,Loan!Q$39-AM14,0))</f>
        <v>0</v>
      </c>
      <c r="AM14" s="210">
        <f>IF(AE14&gt;=Loan!Q$37,IF(AE14&lt;SUM(Loan!Q$35*12)+Loan!Q$37,Loan!Q$39/SUM(Loan!Q$35*12),0),0)</f>
        <v>0</v>
      </c>
      <c r="AO14" s="210">
        <f t="shared" si="15"/>
        <v>0</v>
      </c>
    </row>
    <row r="15" spans="1:41" ht="15" customHeight="1">
      <c r="A15" s="205">
        <f t="shared" si="16"/>
        <v>9</v>
      </c>
      <c r="B15" s="206">
        <f>IF(Loan!C$15=A15,Loan!C$19,IF(Am!E14&gt;0,Am!E14,0))</f>
        <v>17692.694728045408</v>
      </c>
      <c r="C15" s="206">
        <f>B15*(Loan!C$11/12)</f>
        <v>95.835429776912633</v>
      </c>
      <c r="D15" s="207">
        <f>IF(B15&gt;0, IF(B15&lt;Loan!C$21, B15,Loan!C$21-Am!C15),0)</f>
        <v>295.48753459765823</v>
      </c>
      <c r="E15" s="207">
        <f t="shared" si="8"/>
        <v>17397.20719344775</v>
      </c>
      <c r="F15" s="208">
        <f t="shared" si="0"/>
        <v>3673.2073355595317</v>
      </c>
      <c r="G15" s="209">
        <f t="shared" si="1"/>
        <v>13723.999857888219</v>
      </c>
      <c r="H15" s="210">
        <f>IF(H14&gt;0,H14-I15,IF(A15=Loan!C$15,Loan!C$17-I15,0))</f>
        <v>0</v>
      </c>
      <c r="I15" s="210">
        <f>IF(A15&gt;=Loan!C$15,IF(A15&lt;SUM(Loan!C$13*12)+Loan!C$15,Loan!C$17/SUM(Loan!C$13*12),0),0)</f>
        <v>0</v>
      </c>
      <c r="K15" s="211">
        <f t="shared" si="9"/>
        <v>9</v>
      </c>
      <c r="L15" s="212">
        <f>IF(Loan!Q$15=K15,Loan!Q$19,IF(Am!O14&gt;0,Am!O14,0))</f>
        <v>0</v>
      </c>
      <c r="M15" s="212">
        <f>L15*(Loan!Q$11/12)</f>
        <v>0</v>
      </c>
      <c r="N15" s="209">
        <f>IF(L15&gt;0, IF(L15&lt;Loan!Q$21, L15, Loan!Q$21-Am!M15),0)</f>
        <v>0</v>
      </c>
      <c r="O15" s="209">
        <f t="shared" si="10"/>
        <v>0</v>
      </c>
      <c r="P15" s="208">
        <f t="shared" si="2"/>
        <v>0</v>
      </c>
      <c r="Q15" s="209">
        <f t="shared" si="3"/>
        <v>0</v>
      </c>
      <c r="R15" s="210">
        <f>IF(R14&gt;0,R14-S15,IF(K15=Loan!Q$15,Loan!Q$17-S15,0))</f>
        <v>0</v>
      </c>
      <c r="S15" s="210">
        <f>IF(K15&gt;=Loan!Q$15,IF(K15&lt;SUM(Loan!Q$13*12)+Loan!Q$15,Loan!Q$17/SUM(Loan!Q$13*12),0),0)</f>
        <v>0</v>
      </c>
      <c r="U15" s="211">
        <f t="shared" si="11"/>
        <v>9</v>
      </c>
      <c r="V15" s="212">
        <f>IF(Loan!C$37=U15,Loan!C$41,IF(Am!Y14&gt;0,Am!Y14,0))</f>
        <v>0</v>
      </c>
      <c r="W15" s="212">
        <f>V15*(Loan!C$33/12)</f>
        <v>0</v>
      </c>
      <c r="X15" s="209">
        <f>IF(V15&gt;0, IF(V15&lt;Loan!C$43, V15, Loan!C$43-Am!W15),0)</f>
        <v>0</v>
      </c>
      <c r="Y15" s="209">
        <f t="shared" si="12"/>
        <v>0</v>
      </c>
      <c r="Z15" s="208">
        <f t="shared" si="4"/>
        <v>0</v>
      </c>
      <c r="AA15" s="209">
        <f t="shared" si="5"/>
        <v>0</v>
      </c>
      <c r="AB15" s="210">
        <f>IF(AB14&gt;0,AB14-AC15,IF(U15=Loan!C$37,Loan!C$39-AC15,0))</f>
        <v>0</v>
      </c>
      <c r="AC15" s="210">
        <f>IF(U15&gt;=Loan!C$37,IF(U15&lt;SUM(Loan!C$35*12)+Loan!C$37,Loan!C$39/SUM(Loan!C$35*12),0),0)</f>
        <v>0</v>
      </c>
      <c r="AE15" s="211">
        <f t="shared" si="13"/>
        <v>9</v>
      </c>
      <c r="AF15" s="212">
        <f>IF(Loan!Q$37=AE15,Loan!Q$41,IF(Am!AI14&gt;0,Am!AI14,0))</f>
        <v>0</v>
      </c>
      <c r="AG15" s="212">
        <f>AF15*(Loan!Q$33/12)</f>
        <v>0</v>
      </c>
      <c r="AH15" s="209">
        <f>IF(AF15&gt;0, IF(AF15&lt;Loan!Q$43, AF15, Loan!Q$43-Am!AG15),0)</f>
        <v>0</v>
      </c>
      <c r="AI15" s="209">
        <f t="shared" si="14"/>
        <v>0</v>
      </c>
      <c r="AJ15" s="208">
        <f t="shared" si="6"/>
        <v>0</v>
      </c>
      <c r="AK15" s="209">
        <f t="shared" si="7"/>
        <v>0</v>
      </c>
      <c r="AL15" s="210">
        <f>IF(AL14&gt;0,AL14-AM15,IF(AE15=Loan!Q$37,Loan!Q$39-AM15,0))</f>
        <v>0</v>
      </c>
      <c r="AM15" s="210">
        <f>IF(AE15&gt;=Loan!Q$37,IF(AE15&lt;SUM(Loan!Q$35*12)+Loan!Q$37,Loan!Q$39/SUM(Loan!Q$35*12),0),0)</f>
        <v>0</v>
      </c>
      <c r="AO15" s="210">
        <f t="shared" si="15"/>
        <v>0</v>
      </c>
    </row>
    <row r="16" spans="1:41" ht="15" customHeight="1">
      <c r="A16" s="205">
        <f t="shared" si="16"/>
        <v>10</v>
      </c>
      <c r="B16" s="206">
        <f>IF(Loan!C$15=A16,Loan!C$19,IF(Am!E15&gt;0,Am!E15,0))</f>
        <v>17397.20719344775</v>
      </c>
      <c r="C16" s="206">
        <f>B16*(Loan!C$11/12)</f>
        <v>94.234872297841989</v>
      </c>
      <c r="D16" s="207">
        <f>IF(B16&gt;0, IF(B16&lt;Loan!C$21, B16,Loan!C$21-Am!C16),0)</f>
        <v>297.08809207672886</v>
      </c>
      <c r="E16" s="207">
        <f t="shared" si="8"/>
        <v>17100.119101371019</v>
      </c>
      <c r="F16" s="208">
        <f t="shared" si="0"/>
        <v>3693.1038752938121</v>
      </c>
      <c r="G16" s="209">
        <f t="shared" si="1"/>
        <v>13407.015226077208</v>
      </c>
      <c r="H16" s="210">
        <f>IF(H15&gt;0,H15-I16,IF(A16=Loan!C$15,Loan!C$17-I16,0))</f>
        <v>0</v>
      </c>
      <c r="I16" s="210">
        <f>IF(A16&gt;=Loan!C$15,IF(A16&lt;SUM(Loan!C$13*12)+Loan!C$15,Loan!C$17/SUM(Loan!C$13*12),0),0)</f>
        <v>0</v>
      </c>
      <c r="K16" s="211">
        <f t="shared" si="9"/>
        <v>10</v>
      </c>
      <c r="L16" s="212">
        <f>IF(Loan!Q$15=K16,Loan!Q$19,IF(Am!O15&gt;0,Am!O15,0))</f>
        <v>0</v>
      </c>
      <c r="M16" s="212">
        <f>L16*(Loan!Q$11/12)</f>
        <v>0</v>
      </c>
      <c r="N16" s="209">
        <f>IF(L16&gt;0, IF(L16&lt;Loan!Q$21, L16, Loan!Q$21-Am!M16),0)</f>
        <v>0</v>
      </c>
      <c r="O16" s="209">
        <f t="shared" si="10"/>
        <v>0</v>
      </c>
      <c r="P16" s="208">
        <f t="shared" si="2"/>
        <v>0</v>
      </c>
      <c r="Q16" s="209">
        <f t="shared" si="3"/>
        <v>0</v>
      </c>
      <c r="R16" s="210">
        <f>IF(R15&gt;0,R15-S16,IF(K16=Loan!Q$15,Loan!Q$17-S16,0))</f>
        <v>0</v>
      </c>
      <c r="S16" s="210">
        <f>IF(K16&gt;=Loan!Q$15,IF(K16&lt;SUM(Loan!Q$13*12)+Loan!Q$15,Loan!Q$17/SUM(Loan!Q$13*12),0),0)</f>
        <v>0</v>
      </c>
      <c r="U16" s="211">
        <f t="shared" si="11"/>
        <v>10</v>
      </c>
      <c r="V16" s="212">
        <f>IF(Loan!C$37=U16,Loan!C$41,IF(Am!Y15&gt;0,Am!Y15,0))</f>
        <v>0</v>
      </c>
      <c r="W16" s="212">
        <f>V16*(Loan!C$33/12)</f>
        <v>0</v>
      </c>
      <c r="X16" s="209">
        <f>IF(V16&gt;0, IF(V16&lt;Loan!C$43, V16, Loan!C$43-Am!W16),0)</f>
        <v>0</v>
      </c>
      <c r="Y16" s="209">
        <f t="shared" si="12"/>
        <v>0</v>
      </c>
      <c r="Z16" s="208">
        <f t="shared" si="4"/>
        <v>0</v>
      </c>
      <c r="AA16" s="209">
        <f t="shared" si="5"/>
        <v>0</v>
      </c>
      <c r="AB16" s="210">
        <f>IF(AB15&gt;0,AB15-AC16,IF(U16=Loan!C$37,Loan!C$39-AC16,0))</f>
        <v>0</v>
      </c>
      <c r="AC16" s="210">
        <f>IF(U16&gt;=Loan!C$37,IF(U16&lt;SUM(Loan!C$35*12)+Loan!C$37,Loan!C$39/SUM(Loan!C$35*12),0),0)</f>
        <v>0</v>
      </c>
      <c r="AE16" s="211">
        <f t="shared" si="13"/>
        <v>10</v>
      </c>
      <c r="AF16" s="212">
        <f>IF(Loan!Q$37=AE16,Loan!Q$41,IF(Am!AI15&gt;0,Am!AI15,0))</f>
        <v>0</v>
      </c>
      <c r="AG16" s="212">
        <f>AF16*(Loan!Q$33/12)</f>
        <v>0</v>
      </c>
      <c r="AH16" s="209">
        <f>IF(AF16&gt;0, IF(AF16&lt;Loan!Q$43, AF16, Loan!Q$43-Am!AG16),0)</f>
        <v>0</v>
      </c>
      <c r="AI16" s="209">
        <f t="shared" si="14"/>
        <v>0</v>
      </c>
      <c r="AJ16" s="208">
        <f t="shared" si="6"/>
        <v>0</v>
      </c>
      <c r="AK16" s="209">
        <f t="shared" si="7"/>
        <v>0</v>
      </c>
      <c r="AL16" s="210">
        <f>IF(AL15&gt;0,AL15-AM16,IF(AE16=Loan!Q$37,Loan!Q$39-AM16,0))</f>
        <v>0</v>
      </c>
      <c r="AM16" s="210">
        <f>IF(AE16&gt;=Loan!Q$37,IF(AE16&lt;SUM(Loan!Q$35*12)+Loan!Q$37,Loan!Q$39/SUM(Loan!Q$35*12),0),0)</f>
        <v>0</v>
      </c>
      <c r="AO16" s="210">
        <f t="shared" si="15"/>
        <v>0</v>
      </c>
    </row>
    <row r="17" spans="1:41" ht="15" customHeight="1">
      <c r="A17" s="205">
        <f t="shared" si="16"/>
        <v>11</v>
      </c>
      <c r="B17" s="206">
        <f>IF(Loan!C$15=A17,Loan!C$19,IF(Am!E16&gt;0,Am!E16,0))</f>
        <v>17100.119101371019</v>
      </c>
      <c r="C17" s="206">
        <f>B17*(Loan!C$11/12)</f>
        <v>92.625645132426357</v>
      </c>
      <c r="D17" s="207">
        <f>IF(B17&gt;0, IF(B17&lt;Loan!C$21, B17,Loan!C$21-Am!C17),0)</f>
        <v>298.69731924214449</v>
      </c>
      <c r="E17" s="207">
        <f t="shared" si="8"/>
        <v>16801.421782128877</v>
      </c>
      <c r="F17" s="208">
        <f t="shared" si="0"/>
        <v>3713.1081879516541</v>
      </c>
      <c r="G17" s="209">
        <f t="shared" si="1"/>
        <v>13088.313594177223</v>
      </c>
      <c r="H17" s="210">
        <f>IF(H16&gt;0,H16-I17,IF(A17=Loan!C$15,Loan!C$17-I17,0))</f>
        <v>0</v>
      </c>
      <c r="I17" s="210">
        <f>IF(A17&gt;=Loan!C$15,IF(A17&lt;SUM(Loan!C$13*12)+Loan!C$15,Loan!C$17/SUM(Loan!C$13*12),0),0)</f>
        <v>0</v>
      </c>
      <c r="K17" s="211">
        <f t="shared" si="9"/>
        <v>11</v>
      </c>
      <c r="L17" s="212">
        <f>IF(Loan!Q$15=K17,Loan!Q$19,IF(Am!O16&gt;0,Am!O16,0))</f>
        <v>0</v>
      </c>
      <c r="M17" s="212">
        <f>L17*(Loan!Q$11/12)</f>
        <v>0</v>
      </c>
      <c r="N17" s="209">
        <f>IF(L17&gt;0, IF(L17&lt;Loan!Q$21, L17, Loan!Q$21-Am!M17),0)</f>
        <v>0</v>
      </c>
      <c r="O17" s="209">
        <f t="shared" si="10"/>
        <v>0</v>
      </c>
      <c r="P17" s="208">
        <f t="shared" si="2"/>
        <v>0</v>
      </c>
      <c r="Q17" s="209">
        <f t="shared" si="3"/>
        <v>0</v>
      </c>
      <c r="R17" s="210">
        <f>IF(R16&gt;0,R16-S17,IF(K17=Loan!Q$15,Loan!Q$17-S17,0))</f>
        <v>0</v>
      </c>
      <c r="S17" s="210">
        <f>IF(K17&gt;=Loan!Q$15,IF(K17&lt;SUM(Loan!Q$13*12)+Loan!Q$15,Loan!Q$17/SUM(Loan!Q$13*12),0),0)</f>
        <v>0</v>
      </c>
      <c r="U17" s="211">
        <f t="shared" si="11"/>
        <v>11</v>
      </c>
      <c r="V17" s="212">
        <f>IF(Loan!C$37=U17,Loan!C$41,IF(Am!Y16&gt;0,Am!Y16,0))</f>
        <v>0</v>
      </c>
      <c r="W17" s="212">
        <f>V17*(Loan!C$33/12)</f>
        <v>0</v>
      </c>
      <c r="X17" s="209">
        <f>IF(V17&gt;0, IF(V17&lt;Loan!C$43, V17, Loan!C$43-Am!W17),0)</f>
        <v>0</v>
      </c>
      <c r="Y17" s="209">
        <f t="shared" si="12"/>
        <v>0</v>
      </c>
      <c r="Z17" s="208">
        <f t="shared" si="4"/>
        <v>0</v>
      </c>
      <c r="AA17" s="209">
        <f t="shared" si="5"/>
        <v>0</v>
      </c>
      <c r="AB17" s="210">
        <f>IF(AB16&gt;0,AB16-AC17,IF(U17=Loan!C$37,Loan!C$39-AC17,0))</f>
        <v>0</v>
      </c>
      <c r="AC17" s="210">
        <f>IF(U17&gt;=Loan!C$37,IF(U17&lt;SUM(Loan!C$35*12)+Loan!C$37,Loan!C$39/SUM(Loan!C$35*12),0),0)</f>
        <v>0</v>
      </c>
      <c r="AE17" s="211">
        <f t="shared" si="13"/>
        <v>11</v>
      </c>
      <c r="AF17" s="212">
        <f>IF(Loan!Q$37=AE17,Loan!Q$41,IF(Am!AI16&gt;0,Am!AI16,0))</f>
        <v>0</v>
      </c>
      <c r="AG17" s="212">
        <f>AF17*(Loan!Q$33/12)</f>
        <v>0</v>
      </c>
      <c r="AH17" s="209">
        <f>IF(AF17&gt;0, IF(AF17&lt;Loan!Q$43, AF17, Loan!Q$43-Am!AG17),0)</f>
        <v>0</v>
      </c>
      <c r="AI17" s="209">
        <f t="shared" si="14"/>
        <v>0</v>
      </c>
      <c r="AJ17" s="208">
        <f t="shared" si="6"/>
        <v>0</v>
      </c>
      <c r="AK17" s="209">
        <f t="shared" si="7"/>
        <v>0</v>
      </c>
      <c r="AL17" s="210">
        <f>IF(AL16&gt;0,AL16-AM17,IF(AE17=Loan!Q$37,Loan!Q$39-AM17,0))</f>
        <v>0</v>
      </c>
      <c r="AM17" s="210">
        <f>IF(AE17&gt;=Loan!Q$37,IF(AE17&lt;SUM(Loan!Q$35*12)+Loan!Q$37,Loan!Q$39/SUM(Loan!Q$35*12),0),0)</f>
        <v>0</v>
      </c>
      <c r="AO17" s="210">
        <f t="shared" si="15"/>
        <v>0</v>
      </c>
    </row>
    <row r="18" spans="1:41" ht="15" customHeight="1">
      <c r="A18" s="213">
        <f t="shared" si="16"/>
        <v>12</v>
      </c>
      <c r="B18" s="214">
        <f>IF(Loan!C$15=A18,Loan!C$19,IF(Am!E17&gt;0,Am!E17,0))</f>
        <v>16801.421782128877</v>
      </c>
      <c r="C18" s="214">
        <f>B18*(Loan!C$11/12)</f>
        <v>91.007701319864751</v>
      </c>
      <c r="D18" s="215">
        <f>IF(B18&gt;0, IF(B18&lt;Loan!C$21, B18,Loan!C$21-Am!C18),0)</f>
        <v>300.31526305470612</v>
      </c>
      <c r="E18" s="215">
        <f t="shared" si="8"/>
        <v>16501.106519074172</v>
      </c>
      <c r="F18" s="216">
        <f t="shared" si="0"/>
        <v>3733.2208573030584</v>
      </c>
      <c r="G18" s="217">
        <f t="shared" si="1"/>
        <v>12767.885661771114</v>
      </c>
      <c r="H18" s="218">
        <f>IF(H17&gt;0,H17-I18,IF(A18=Loan!C$15,Loan!C$17-I18,0))</f>
        <v>0</v>
      </c>
      <c r="I18" s="218">
        <f>IF(A18&gt;=Loan!C$15,IF(A18&lt;SUM(Loan!C$13*12)+Loan!C$15,Loan!C$17/SUM(Loan!C$13*12),0),0)</f>
        <v>0</v>
      </c>
      <c r="K18" s="219">
        <f t="shared" si="9"/>
        <v>12</v>
      </c>
      <c r="L18" s="220">
        <f>IF(Loan!Q$15=K18,Loan!Q$19,IF(Am!O17&gt;0,Am!O17,0))</f>
        <v>0</v>
      </c>
      <c r="M18" s="220">
        <f>L18*(Loan!Q$11/12)</f>
        <v>0</v>
      </c>
      <c r="N18" s="217">
        <f>IF(L18&gt;0, IF(L18&lt;Loan!Q$21, L18, Loan!Q$21-Am!M18),0)</f>
        <v>0</v>
      </c>
      <c r="O18" s="217">
        <f t="shared" si="10"/>
        <v>0</v>
      </c>
      <c r="P18" s="216">
        <f t="shared" si="2"/>
        <v>0</v>
      </c>
      <c r="Q18" s="217">
        <f t="shared" si="3"/>
        <v>0</v>
      </c>
      <c r="R18" s="218">
        <f>IF(R17&gt;0,R17-S18,IF(K18=Loan!Q$15,Loan!Q$17-S18,0))</f>
        <v>0</v>
      </c>
      <c r="S18" s="218">
        <f>IF(K18&gt;=Loan!Q$15,IF(K18&lt;SUM(Loan!Q$13*12)+Loan!Q$15,Loan!Q$17/SUM(Loan!Q$13*12),0),0)</f>
        <v>0</v>
      </c>
      <c r="U18" s="219">
        <f t="shared" si="11"/>
        <v>12</v>
      </c>
      <c r="V18" s="220">
        <f>IF(Loan!C$37=U18,Loan!C$41,IF(Am!Y17&gt;0,Am!Y17,0))</f>
        <v>0</v>
      </c>
      <c r="W18" s="220">
        <f>V18*(Loan!C$33/12)</f>
        <v>0</v>
      </c>
      <c r="X18" s="217">
        <f>IF(V18&gt;0, IF(V18&lt;Loan!C$43, V18, Loan!C$43-Am!W18),0)</f>
        <v>0</v>
      </c>
      <c r="Y18" s="217">
        <f t="shared" si="12"/>
        <v>0</v>
      </c>
      <c r="Z18" s="216">
        <f t="shared" si="4"/>
        <v>0</v>
      </c>
      <c r="AA18" s="217">
        <f t="shared" si="5"/>
        <v>0</v>
      </c>
      <c r="AB18" s="218">
        <f>IF(AB17&gt;0,AB17-AC18,IF(U18=Loan!C$37,Loan!C$39-AC18,0))</f>
        <v>0</v>
      </c>
      <c r="AC18" s="218">
        <f>IF(U18&gt;=Loan!C$37,IF(U18&lt;SUM(Loan!C$35*12)+Loan!C$37,Loan!C$39/SUM(Loan!C$35*12),0),0)</f>
        <v>0</v>
      </c>
      <c r="AE18" s="219">
        <f t="shared" si="13"/>
        <v>12</v>
      </c>
      <c r="AF18" s="220">
        <f>IF(Loan!Q$37=AE18,Loan!Q$41,IF(Am!AI17&gt;0,Am!AI17,0))</f>
        <v>0</v>
      </c>
      <c r="AG18" s="220">
        <f>AF18*(Loan!Q$33/12)</f>
        <v>0</v>
      </c>
      <c r="AH18" s="217">
        <f>IF(AF18&gt;0, IF(AF18&lt;Loan!Q$43, AF18, Loan!Q$43-Am!AG18),0)</f>
        <v>0</v>
      </c>
      <c r="AI18" s="217">
        <f t="shared" si="14"/>
        <v>0</v>
      </c>
      <c r="AJ18" s="216">
        <f t="shared" si="6"/>
        <v>0</v>
      </c>
      <c r="AK18" s="217">
        <f t="shared" si="7"/>
        <v>0</v>
      </c>
      <c r="AL18" s="218">
        <f>IF(AL17&gt;0,AL17-AM18,IF(AE18=Loan!Q$37,Loan!Q$39-AM18,0))</f>
        <v>0</v>
      </c>
      <c r="AM18" s="218">
        <f>IF(AE18&gt;=Loan!Q$37,IF(AE18&lt;SUM(Loan!Q$35*12)+Loan!Q$37,Loan!Q$39/SUM(Loan!Q$35*12),0),0)</f>
        <v>0</v>
      </c>
      <c r="AO18" s="210">
        <f t="shared" si="15"/>
        <v>0</v>
      </c>
    </row>
    <row r="19" spans="1:41" ht="15" customHeight="1">
      <c r="A19" s="205">
        <f t="shared" si="16"/>
        <v>13</v>
      </c>
      <c r="B19" s="206">
        <f>IF(Loan!C$15=A19,Loan!C$19,IF(Am!E18&gt;0,Am!E18,0))</f>
        <v>16501.106519074172</v>
      </c>
      <c r="C19" s="206">
        <f>B19*(Loan!C$11/12)</f>
        <v>89.380993644985097</v>
      </c>
      <c r="D19" s="207">
        <f>IF(B19&gt;0, IF(B19&lt;Loan!C$21, B19,Loan!C$21-Am!C19),0)</f>
        <v>301.94197072958576</v>
      </c>
      <c r="E19" s="207">
        <f t="shared" si="8"/>
        <v>16199.164548344586</v>
      </c>
      <c r="F19" s="208">
        <f t="shared" si="0"/>
        <v>3753.442470280117</v>
      </c>
      <c r="G19" s="209">
        <f t="shared" si="1"/>
        <v>12445.722078064469</v>
      </c>
      <c r="H19" s="201">
        <f>IF(H18&gt;0,H18-I19,IF(A19=Loan!C$15,Loan!C$17-I19,0))</f>
        <v>0</v>
      </c>
      <c r="I19" s="201">
        <f>IF(A19&gt;=Loan!C$15,IF(A19&lt;SUM(Loan!C$13*12)+Loan!C$15,Loan!C$17/SUM(Loan!C$13*12),0),0)</f>
        <v>0</v>
      </c>
      <c r="K19" s="211">
        <f t="shared" si="9"/>
        <v>13</v>
      </c>
      <c r="L19" s="212">
        <f>IF(Loan!Q$15=K19,Loan!Q$19,IF(Am!O18&gt;0,Am!O18,0))</f>
        <v>0</v>
      </c>
      <c r="M19" s="212">
        <f>L19*(Loan!Q$11/12)</f>
        <v>0</v>
      </c>
      <c r="N19" s="209">
        <f>IF(L19&gt;0, IF(L19&lt;Loan!Q$21, L19, Loan!Q$21-Am!M19),0)</f>
        <v>0</v>
      </c>
      <c r="O19" s="209">
        <f t="shared" si="10"/>
        <v>0</v>
      </c>
      <c r="P19" s="208">
        <f t="shared" si="2"/>
        <v>0</v>
      </c>
      <c r="Q19" s="209">
        <f t="shared" si="3"/>
        <v>0</v>
      </c>
      <c r="R19" s="201">
        <f>IF(R18&gt;0,R18-S19,IF(K19=Loan!Q$15,Loan!Q$17-S19,0))</f>
        <v>0</v>
      </c>
      <c r="S19" s="201">
        <f>IF(K19&gt;=Loan!Q$15,IF(K19&lt;SUM(Loan!Q$13*12)+Loan!Q$15,Loan!Q$17/SUM(Loan!Q$13*12),0),0)</f>
        <v>0</v>
      </c>
      <c r="U19" s="211">
        <f t="shared" si="11"/>
        <v>13</v>
      </c>
      <c r="V19" s="212">
        <f>IF(Loan!C$37=U19,Loan!C$41,IF(Am!Y18&gt;0,Am!Y18,0))</f>
        <v>0</v>
      </c>
      <c r="W19" s="212">
        <f>V19*(Loan!C$33/12)</f>
        <v>0</v>
      </c>
      <c r="X19" s="209">
        <f>IF(V19&gt;0, IF(V19&lt;Loan!C$43, V19, Loan!C$43-Am!W19),0)</f>
        <v>0</v>
      </c>
      <c r="Y19" s="209">
        <f t="shared" si="12"/>
        <v>0</v>
      </c>
      <c r="Z19" s="208">
        <f t="shared" si="4"/>
        <v>0</v>
      </c>
      <c r="AA19" s="209">
        <f t="shared" si="5"/>
        <v>0</v>
      </c>
      <c r="AB19" s="201">
        <f>IF(AB18&gt;0,AB18-AC19,IF(U19=Loan!C$37,Loan!C$39-AC19,0))</f>
        <v>0</v>
      </c>
      <c r="AC19" s="201">
        <f>IF(U19&gt;=Loan!C$37,IF(U19&lt;SUM(Loan!C$35*12)+Loan!C$37,Loan!C$39/SUM(Loan!C$35*12),0),0)</f>
        <v>0</v>
      </c>
      <c r="AE19" s="211">
        <f t="shared" si="13"/>
        <v>13</v>
      </c>
      <c r="AF19" s="212">
        <f>IF(Loan!Q$37=AE19,Loan!Q$41,IF(Am!AI18&gt;0,Am!AI18,0))</f>
        <v>0</v>
      </c>
      <c r="AG19" s="212">
        <f>AF19*(Loan!Q$33/12)</f>
        <v>0</v>
      </c>
      <c r="AH19" s="209">
        <f>IF(AF19&gt;0, IF(AF19&lt;Loan!Q$43, AF19, Loan!Q$43-Am!AG19),0)</f>
        <v>0</v>
      </c>
      <c r="AI19" s="209">
        <f t="shared" si="14"/>
        <v>0</v>
      </c>
      <c r="AJ19" s="208">
        <f t="shared" si="6"/>
        <v>0</v>
      </c>
      <c r="AK19" s="209">
        <f t="shared" si="7"/>
        <v>0</v>
      </c>
      <c r="AL19" s="201">
        <f>IF(AL18&gt;0,AL18-AM19,IF(AE19=Loan!Q$37,Loan!Q$39-AM19,0))</f>
        <v>0</v>
      </c>
      <c r="AM19" s="201">
        <f>IF(AE19&gt;=Loan!Q$37,IF(AE19&lt;SUM(Loan!Q$35*12)+Loan!Q$37,Loan!Q$39/SUM(Loan!Q$35*12),0),0)</f>
        <v>0</v>
      </c>
      <c r="AO19" s="201">
        <f t="shared" si="15"/>
        <v>0</v>
      </c>
    </row>
    <row r="20" spans="1:41" ht="15" customHeight="1">
      <c r="A20" s="205">
        <f t="shared" si="16"/>
        <v>14</v>
      </c>
      <c r="B20" s="206">
        <f>IF(Loan!C$15=A20,Loan!C$19,IF(Am!E19&gt;0,Am!E19,0))</f>
        <v>16199.164548344586</v>
      </c>
      <c r="C20" s="206">
        <f>B20*(Loan!C$11/12)</f>
        <v>87.745474636866518</v>
      </c>
      <c r="D20" s="207">
        <f>IF(B20&gt;0, IF(B20&lt;Loan!C$21, B20,Loan!C$21-Am!C20),0)</f>
        <v>303.57748973770435</v>
      </c>
      <c r="E20" s="207">
        <f t="shared" si="8"/>
        <v>15895.587058606881</v>
      </c>
      <c r="F20" s="208">
        <f t="shared" si="0"/>
        <v>3773.7736169941345</v>
      </c>
      <c r="G20" s="209">
        <f t="shared" si="1"/>
        <v>12121.813441612747</v>
      </c>
      <c r="H20" s="210">
        <f>IF(H19&gt;0,H19-I20,IF(A20=Loan!C$15,Loan!C$17-I20,0))</f>
        <v>0</v>
      </c>
      <c r="I20" s="210">
        <f>IF(A20&gt;=Loan!C$15,IF(A20&lt;SUM(Loan!C$13*12)+Loan!C$15,Loan!C$17/SUM(Loan!C$13*12),0),0)</f>
        <v>0</v>
      </c>
      <c r="K20" s="211">
        <f t="shared" si="9"/>
        <v>14</v>
      </c>
      <c r="L20" s="212">
        <f>IF(Loan!Q$15=K20,Loan!Q$19,IF(Am!O19&gt;0,Am!O19,0))</f>
        <v>0</v>
      </c>
      <c r="M20" s="212">
        <f>L20*(Loan!Q$11/12)</f>
        <v>0</v>
      </c>
      <c r="N20" s="209">
        <f>IF(L20&gt;0, IF(L20&lt;Loan!Q$21, L20, Loan!Q$21-Am!M20),0)</f>
        <v>0</v>
      </c>
      <c r="O20" s="209">
        <f t="shared" si="10"/>
        <v>0</v>
      </c>
      <c r="P20" s="208">
        <f t="shared" si="2"/>
        <v>0</v>
      </c>
      <c r="Q20" s="209">
        <f t="shared" si="3"/>
        <v>0</v>
      </c>
      <c r="R20" s="210">
        <f>IF(R19&gt;0,R19-S20,IF(K20=Loan!Q$15,Loan!Q$17-S20,0))</f>
        <v>0</v>
      </c>
      <c r="S20" s="210">
        <f>IF(K20&gt;=Loan!Q$15,IF(K20&lt;SUM(Loan!Q$13*12)+Loan!Q$15,Loan!Q$17/SUM(Loan!Q$13*12),0),0)</f>
        <v>0</v>
      </c>
      <c r="U20" s="211">
        <f t="shared" si="11"/>
        <v>14</v>
      </c>
      <c r="V20" s="212">
        <f>IF(Loan!C$37=U20,Loan!C$41,IF(Am!Y19&gt;0,Am!Y19,0))</f>
        <v>0</v>
      </c>
      <c r="W20" s="212">
        <f>V20*(Loan!C$33/12)</f>
        <v>0</v>
      </c>
      <c r="X20" s="209">
        <f>IF(V20&gt;0, IF(V20&lt;Loan!C$43, V20, Loan!C$43-Am!W20),0)</f>
        <v>0</v>
      </c>
      <c r="Y20" s="209">
        <f t="shared" si="12"/>
        <v>0</v>
      </c>
      <c r="Z20" s="208">
        <f t="shared" si="4"/>
        <v>0</v>
      </c>
      <c r="AA20" s="209">
        <f t="shared" si="5"/>
        <v>0</v>
      </c>
      <c r="AB20" s="210">
        <f>IF(AB19&gt;0,AB19-AC20,IF(U20=Loan!C$37,Loan!C$39-AC20,0))</f>
        <v>0</v>
      </c>
      <c r="AC20" s="210">
        <f>IF(U20&gt;=Loan!C$37,IF(U20&lt;SUM(Loan!C$35*12)+Loan!C$37,Loan!C$39/SUM(Loan!C$35*12),0),0)</f>
        <v>0</v>
      </c>
      <c r="AE20" s="211">
        <f t="shared" si="13"/>
        <v>14</v>
      </c>
      <c r="AF20" s="212">
        <f>IF(Loan!Q$37=AE20,Loan!Q$41,IF(Am!AI19&gt;0,Am!AI19,0))</f>
        <v>0</v>
      </c>
      <c r="AG20" s="212">
        <f>AF20*(Loan!Q$33/12)</f>
        <v>0</v>
      </c>
      <c r="AH20" s="209">
        <f>IF(AF20&gt;0, IF(AF20&lt;Loan!Q$43, AF20, Loan!Q$43-Am!AG20),0)</f>
        <v>0</v>
      </c>
      <c r="AI20" s="209">
        <f t="shared" si="14"/>
        <v>0</v>
      </c>
      <c r="AJ20" s="208">
        <f t="shared" si="6"/>
        <v>0</v>
      </c>
      <c r="AK20" s="209">
        <f t="shared" si="7"/>
        <v>0</v>
      </c>
      <c r="AL20" s="210">
        <f>IF(AL19&gt;0,AL19-AM20,IF(AE20=Loan!Q$37,Loan!Q$39-AM20,0))</f>
        <v>0</v>
      </c>
      <c r="AM20" s="210">
        <f>IF(AE20&gt;=Loan!Q$37,IF(AE20&lt;SUM(Loan!Q$35*12)+Loan!Q$37,Loan!Q$39/SUM(Loan!Q$35*12),0),0)</f>
        <v>0</v>
      </c>
      <c r="AO20" s="210">
        <f t="shared" si="15"/>
        <v>0</v>
      </c>
    </row>
    <row r="21" spans="1:41" ht="15" customHeight="1">
      <c r="A21" s="205">
        <f t="shared" si="16"/>
        <v>15</v>
      </c>
      <c r="B21" s="206">
        <f>IF(Loan!C$15=A21,Loan!C$19,IF(Am!E20&gt;0,Am!E20,0))</f>
        <v>15895.587058606881</v>
      </c>
      <c r="C21" s="206">
        <f>B21*(Loan!C$11/12)</f>
        <v>86.101096567453951</v>
      </c>
      <c r="D21" s="207">
        <f>IF(B21&gt;0, IF(B21&lt;Loan!C$21, B21,Loan!C$21-Am!C21),0)</f>
        <v>305.22186780711689</v>
      </c>
      <c r="E21" s="207">
        <f t="shared" si="8"/>
        <v>15590.365190799765</v>
      </c>
      <c r="F21" s="208">
        <f t="shared" si="0"/>
        <v>3794.2148907528522</v>
      </c>
      <c r="G21" s="209">
        <f t="shared" si="1"/>
        <v>11796.150300046913</v>
      </c>
      <c r="H21" s="210">
        <f>IF(H20&gt;0,H20-I21,IF(A21=Loan!C$15,Loan!C$17-I21,0))</f>
        <v>0</v>
      </c>
      <c r="I21" s="210">
        <f>IF(A21&gt;=Loan!C$15,IF(A21&lt;SUM(Loan!C$13*12)+Loan!C$15,Loan!C$17/SUM(Loan!C$13*12),0),0)</f>
        <v>0</v>
      </c>
      <c r="K21" s="211">
        <f t="shared" si="9"/>
        <v>15</v>
      </c>
      <c r="L21" s="212">
        <f>IF(Loan!Q$15=K21,Loan!Q$19,IF(Am!O20&gt;0,Am!O20,0))</f>
        <v>0</v>
      </c>
      <c r="M21" s="212">
        <f>L21*(Loan!Q$11/12)</f>
        <v>0</v>
      </c>
      <c r="N21" s="209">
        <f>IF(L21&gt;0, IF(L21&lt;Loan!Q$21, L21, Loan!Q$21-Am!M21),0)</f>
        <v>0</v>
      </c>
      <c r="O21" s="209">
        <f t="shared" si="10"/>
        <v>0</v>
      </c>
      <c r="P21" s="208">
        <f t="shared" si="2"/>
        <v>0</v>
      </c>
      <c r="Q21" s="209">
        <f t="shared" si="3"/>
        <v>0</v>
      </c>
      <c r="R21" s="210">
        <f>IF(R20&gt;0,R20-S21,IF(K21=Loan!Q$15,Loan!Q$17-S21,0))</f>
        <v>0</v>
      </c>
      <c r="S21" s="210">
        <f>IF(K21&gt;=Loan!Q$15,IF(K21&lt;SUM(Loan!Q$13*12)+Loan!Q$15,Loan!Q$17/SUM(Loan!Q$13*12),0),0)</f>
        <v>0</v>
      </c>
      <c r="U21" s="211">
        <f t="shared" si="11"/>
        <v>15</v>
      </c>
      <c r="V21" s="212">
        <f>IF(Loan!C$37=U21,Loan!C$41,IF(Am!Y20&gt;0,Am!Y20,0))</f>
        <v>0</v>
      </c>
      <c r="W21" s="212">
        <f>V21*(Loan!C$33/12)</f>
        <v>0</v>
      </c>
      <c r="X21" s="209">
        <f>IF(V21&gt;0, IF(V21&lt;Loan!C$43, V21, Loan!C$43-Am!W21),0)</f>
        <v>0</v>
      </c>
      <c r="Y21" s="209">
        <f t="shared" si="12"/>
        <v>0</v>
      </c>
      <c r="Z21" s="208">
        <f t="shared" si="4"/>
        <v>0</v>
      </c>
      <c r="AA21" s="209">
        <f t="shared" si="5"/>
        <v>0</v>
      </c>
      <c r="AB21" s="210">
        <f>IF(AB20&gt;0,AB20-AC21,IF(U21=Loan!C$37,Loan!C$39-AC21,0))</f>
        <v>0</v>
      </c>
      <c r="AC21" s="210">
        <f>IF(U21&gt;=Loan!C$37,IF(U21&lt;SUM(Loan!C$35*12)+Loan!C$37,Loan!C$39/SUM(Loan!C$35*12),0),0)</f>
        <v>0</v>
      </c>
      <c r="AE21" s="211">
        <f t="shared" si="13"/>
        <v>15</v>
      </c>
      <c r="AF21" s="212">
        <f>IF(Loan!Q$37=AE21,Loan!Q$41,IF(Am!AI20&gt;0,Am!AI20,0))</f>
        <v>0</v>
      </c>
      <c r="AG21" s="212">
        <f>AF21*(Loan!Q$33/12)</f>
        <v>0</v>
      </c>
      <c r="AH21" s="209">
        <f>IF(AF21&gt;0, IF(AF21&lt;Loan!Q$43, AF21, Loan!Q$43-Am!AG21),0)</f>
        <v>0</v>
      </c>
      <c r="AI21" s="209">
        <f t="shared" si="14"/>
        <v>0</v>
      </c>
      <c r="AJ21" s="208">
        <f t="shared" si="6"/>
        <v>0</v>
      </c>
      <c r="AK21" s="209">
        <f t="shared" si="7"/>
        <v>0</v>
      </c>
      <c r="AL21" s="210">
        <f>IF(AL20&gt;0,AL20-AM21,IF(AE21=Loan!Q$37,Loan!Q$39-AM21,0))</f>
        <v>0</v>
      </c>
      <c r="AM21" s="210">
        <f>IF(AE21&gt;=Loan!Q$37,IF(AE21&lt;SUM(Loan!Q$35*12)+Loan!Q$37,Loan!Q$39/SUM(Loan!Q$35*12),0),0)</f>
        <v>0</v>
      </c>
      <c r="AO21" s="210">
        <f t="shared" si="15"/>
        <v>0</v>
      </c>
    </row>
    <row r="22" spans="1:41" ht="15" customHeight="1">
      <c r="A22" s="205">
        <f t="shared" si="16"/>
        <v>16</v>
      </c>
      <c r="B22" s="206">
        <f>IF(Loan!C$15=A22,Loan!C$19,IF(Am!E21&gt;0,Am!E21,0))</f>
        <v>15590.365190799765</v>
      </c>
      <c r="C22" s="206">
        <f>B22*(Loan!C$11/12)</f>
        <v>84.447811450165389</v>
      </c>
      <c r="D22" s="207">
        <f>IF(B22&gt;0, IF(B22&lt;Loan!C$21, B22,Loan!C$21-Am!C22),0)</f>
        <v>306.87515292440548</v>
      </c>
      <c r="E22" s="207">
        <f t="shared" si="8"/>
        <v>15283.490037875359</v>
      </c>
      <c r="F22" s="208">
        <f t="shared" si="0"/>
        <v>3814.7668880777642</v>
      </c>
      <c r="G22" s="209">
        <f t="shared" si="1"/>
        <v>11468.723149797595</v>
      </c>
      <c r="H22" s="210">
        <f>IF(H21&gt;0,H21-I22,IF(A22=Loan!C$15,Loan!C$17-I22,0))</f>
        <v>0</v>
      </c>
      <c r="I22" s="210">
        <f>IF(A22&gt;=Loan!C$15,IF(A22&lt;SUM(Loan!C$13*12)+Loan!C$15,Loan!C$17/SUM(Loan!C$13*12),0),0)</f>
        <v>0</v>
      </c>
      <c r="K22" s="211">
        <f t="shared" si="9"/>
        <v>16</v>
      </c>
      <c r="L22" s="212">
        <f>IF(Loan!Q$15=K22,Loan!Q$19,IF(Am!O21&gt;0,Am!O21,0))</f>
        <v>0</v>
      </c>
      <c r="M22" s="212">
        <f>L22*(Loan!Q$11/12)</f>
        <v>0</v>
      </c>
      <c r="N22" s="209">
        <f>IF(L22&gt;0, IF(L22&lt;Loan!Q$21, L22, Loan!Q$21-Am!M22),0)</f>
        <v>0</v>
      </c>
      <c r="O22" s="209">
        <f t="shared" si="10"/>
        <v>0</v>
      </c>
      <c r="P22" s="208">
        <f t="shared" si="2"/>
        <v>0</v>
      </c>
      <c r="Q22" s="209">
        <f t="shared" si="3"/>
        <v>0</v>
      </c>
      <c r="R22" s="210">
        <f>IF(R21&gt;0,R21-S22,IF(K22=Loan!Q$15,Loan!Q$17-S22,0))</f>
        <v>0</v>
      </c>
      <c r="S22" s="210">
        <f>IF(K22&gt;=Loan!Q$15,IF(K22&lt;SUM(Loan!Q$13*12)+Loan!Q$15,Loan!Q$17/SUM(Loan!Q$13*12),0),0)</f>
        <v>0</v>
      </c>
      <c r="U22" s="211">
        <f t="shared" si="11"/>
        <v>16</v>
      </c>
      <c r="V22" s="212">
        <f>IF(Loan!C$37=U22,Loan!C$41,IF(Am!Y21&gt;0,Am!Y21,0))</f>
        <v>0</v>
      </c>
      <c r="W22" s="212">
        <f>V22*(Loan!C$33/12)</f>
        <v>0</v>
      </c>
      <c r="X22" s="209">
        <f>IF(V22&gt;0, IF(V22&lt;Loan!C$43, V22, Loan!C$43-Am!W22),0)</f>
        <v>0</v>
      </c>
      <c r="Y22" s="209">
        <f t="shared" si="12"/>
        <v>0</v>
      </c>
      <c r="Z22" s="208">
        <f t="shared" si="4"/>
        <v>0</v>
      </c>
      <c r="AA22" s="209">
        <f t="shared" si="5"/>
        <v>0</v>
      </c>
      <c r="AB22" s="210">
        <f>IF(AB21&gt;0,AB21-AC22,IF(U22=Loan!C$37,Loan!C$39-AC22,0))</f>
        <v>0</v>
      </c>
      <c r="AC22" s="210">
        <f>IF(U22&gt;=Loan!C$37,IF(U22&lt;SUM(Loan!C$35*12)+Loan!C$37,Loan!C$39/SUM(Loan!C$35*12),0),0)</f>
        <v>0</v>
      </c>
      <c r="AE22" s="211">
        <f t="shared" si="13"/>
        <v>16</v>
      </c>
      <c r="AF22" s="212">
        <f>IF(Loan!Q$37=AE22,Loan!Q$41,IF(Am!AI21&gt;0,Am!AI21,0))</f>
        <v>0</v>
      </c>
      <c r="AG22" s="212">
        <f>AF22*(Loan!Q$33/12)</f>
        <v>0</v>
      </c>
      <c r="AH22" s="209">
        <f>IF(AF22&gt;0, IF(AF22&lt;Loan!Q$43, AF22, Loan!Q$43-Am!AG22),0)</f>
        <v>0</v>
      </c>
      <c r="AI22" s="209">
        <f t="shared" si="14"/>
        <v>0</v>
      </c>
      <c r="AJ22" s="208">
        <f t="shared" si="6"/>
        <v>0</v>
      </c>
      <c r="AK22" s="209">
        <f t="shared" si="7"/>
        <v>0</v>
      </c>
      <c r="AL22" s="210">
        <f>IF(AL21&gt;0,AL21-AM22,IF(AE22=Loan!Q$37,Loan!Q$39-AM22,0))</f>
        <v>0</v>
      </c>
      <c r="AM22" s="210">
        <f>IF(AE22&gt;=Loan!Q$37,IF(AE22&lt;SUM(Loan!Q$35*12)+Loan!Q$37,Loan!Q$39/SUM(Loan!Q$35*12),0),0)</f>
        <v>0</v>
      </c>
      <c r="AO22" s="210">
        <f t="shared" si="15"/>
        <v>0</v>
      </c>
    </row>
    <row r="23" spans="1:41" ht="15" customHeight="1">
      <c r="A23" s="205">
        <f t="shared" si="16"/>
        <v>17</v>
      </c>
      <c r="B23" s="206">
        <f>IF(Loan!C$15=A23,Loan!C$19,IF(Am!E22&gt;0,Am!E22,0))</f>
        <v>15283.490037875359</v>
      </c>
      <c r="C23" s="206">
        <f>B23*(Loan!C$11/12)</f>
        <v>82.785571038491526</v>
      </c>
      <c r="D23" s="207">
        <f>IF(B23&gt;0, IF(B23&lt;Loan!C$21, B23,Loan!C$21-Am!C23),0)</f>
        <v>308.53739333607933</v>
      </c>
      <c r="E23" s="207">
        <f t="shared" si="8"/>
        <v>14974.95264453928</v>
      </c>
      <c r="F23" s="208">
        <f t="shared" si="0"/>
        <v>3835.4302087215183</v>
      </c>
      <c r="G23" s="209">
        <f t="shared" si="1"/>
        <v>11139.522435817762</v>
      </c>
      <c r="H23" s="210">
        <f>IF(H22&gt;0,H22-I23,IF(A23=Loan!C$15,Loan!C$17-I23,0))</f>
        <v>0</v>
      </c>
      <c r="I23" s="210">
        <f>IF(A23&gt;=Loan!C$15,IF(A23&lt;SUM(Loan!C$13*12)+Loan!C$15,Loan!C$17/SUM(Loan!C$13*12),0),0)</f>
        <v>0</v>
      </c>
      <c r="K23" s="211">
        <f t="shared" si="9"/>
        <v>17</v>
      </c>
      <c r="L23" s="212">
        <f>IF(Loan!Q$15=K23,Loan!Q$19,IF(Am!O22&gt;0,Am!O22,0))</f>
        <v>0</v>
      </c>
      <c r="M23" s="212">
        <f>L23*(Loan!Q$11/12)</f>
        <v>0</v>
      </c>
      <c r="N23" s="209">
        <f>IF(L23&gt;0, IF(L23&lt;Loan!Q$21, L23, Loan!Q$21-Am!M23),0)</f>
        <v>0</v>
      </c>
      <c r="O23" s="209">
        <f t="shared" si="10"/>
        <v>0</v>
      </c>
      <c r="P23" s="208">
        <f t="shared" si="2"/>
        <v>0</v>
      </c>
      <c r="Q23" s="209">
        <f t="shared" si="3"/>
        <v>0</v>
      </c>
      <c r="R23" s="210">
        <f>IF(R22&gt;0,R22-S23,IF(K23=Loan!Q$15,Loan!Q$17-S23,0))</f>
        <v>0</v>
      </c>
      <c r="S23" s="210">
        <f>IF(K23&gt;=Loan!Q$15,IF(K23&lt;SUM(Loan!Q$13*12)+Loan!Q$15,Loan!Q$17/SUM(Loan!Q$13*12),0),0)</f>
        <v>0</v>
      </c>
      <c r="U23" s="211">
        <f t="shared" si="11"/>
        <v>17</v>
      </c>
      <c r="V23" s="212">
        <f>IF(Loan!C$37=U23,Loan!C$41,IF(Am!Y22&gt;0,Am!Y22,0))</f>
        <v>0</v>
      </c>
      <c r="W23" s="212">
        <f>V23*(Loan!C$33/12)</f>
        <v>0</v>
      </c>
      <c r="X23" s="209">
        <f>IF(V23&gt;0, IF(V23&lt;Loan!C$43, V23, Loan!C$43-Am!W23),0)</f>
        <v>0</v>
      </c>
      <c r="Y23" s="209">
        <f t="shared" si="12"/>
        <v>0</v>
      </c>
      <c r="Z23" s="208">
        <f t="shared" si="4"/>
        <v>0</v>
      </c>
      <c r="AA23" s="209">
        <f t="shared" si="5"/>
        <v>0</v>
      </c>
      <c r="AB23" s="210">
        <f>IF(AB22&gt;0,AB22-AC23,IF(U23=Loan!C$37,Loan!C$39-AC23,0))</f>
        <v>0</v>
      </c>
      <c r="AC23" s="210">
        <f>IF(U23&gt;=Loan!C$37,IF(U23&lt;SUM(Loan!C$35*12)+Loan!C$37,Loan!C$39/SUM(Loan!C$35*12),0),0)</f>
        <v>0</v>
      </c>
      <c r="AE23" s="211">
        <f t="shared" si="13"/>
        <v>17</v>
      </c>
      <c r="AF23" s="212">
        <f>IF(Loan!Q$37=AE23,Loan!Q$41,IF(Am!AI22&gt;0,Am!AI22,0))</f>
        <v>0</v>
      </c>
      <c r="AG23" s="212">
        <f>AF23*(Loan!Q$33/12)</f>
        <v>0</v>
      </c>
      <c r="AH23" s="209">
        <f>IF(AF23&gt;0, IF(AF23&lt;Loan!Q$43, AF23, Loan!Q$43-Am!AG23),0)</f>
        <v>0</v>
      </c>
      <c r="AI23" s="209">
        <f t="shared" si="14"/>
        <v>0</v>
      </c>
      <c r="AJ23" s="208">
        <f t="shared" si="6"/>
        <v>0</v>
      </c>
      <c r="AK23" s="209">
        <f t="shared" si="7"/>
        <v>0</v>
      </c>
      <c r="AL23" s="210">
        <f>IF(AL22&gt;0,AL22-AM23,IF(AE23=Loan!Q$37,Loan!Q$39-AM23,0))</f>
        <v>0</v>
      </c>
      <c r="AM23" s="210">
        <f>IF(AE23&gt;=Loan!Q$37,IF(AE23&lt;SUM(Loan!Q$35*12)+Loan!Q$37,Loan!Q$39/SUM(Loan!Q$35*12),0),0)</f>
        <v>0</v>
      </c>
      <c r="AO23" s="210">
        <f t="shared" si="15"/>
        <v>0</v>
      </c>
    </row>
    <row r="24" spans="1:41" ht="15" customHeight="1">
      <c r="A24" s="205">
        <f t="shared" si="16"/>
        <v>18</v>
      </c>
      <c r="B24" s="206">
        <f>IF(Loan!C$15=A24,Loan!C$19,IF(Am!E23&gt;0,Am!E23,0))</f>
        <v>14974.95264453928</v>
      </c>
      <c r="C24" s="206">
        <f>B24*(Loan!C$11/12)</f>
        <v>81.114326824587778</v>
      </c>
      <c r="D24" s="207">
        <f>IF(B24&gt;0, IF(B24&lt;Loan!C$21, B24,Loan!C$21-Am!C24),0)</f>
        <v>310.20863754998311</v>
      </c>
      <c r="E24" s="207">
        <f t="shared" si="8"/>
        <v>14664.744006989296</v>
      </c>
      <c r="F24" s="208">
        <f t="shared" si="0"/>
        <v>3856.2054556854264</v>
      </c>
      <c r="G24" s="209">
        <f t="shared" si="1"/>
        <v>10808.538551303871</v>
      </c>
      <c r="H24" s="210">
        <f>IF(H23&gt;0,H23-I24,IF(A24=Loan!C$15,Loan!C$17-I24,0))</f>
        <v>0</v>
      </c>
      <c r="I24" s="210">
        <f>IF(A24&gt;=Loan!C$15,IF(A24&lt;SUM(Loan!C$13*12)+Loan!C$15,Loan!C$17/SUM(Loan!C$13*12),0),0)</f>
        <v>0</v>
      </c>
      <c r="K24" s="211">
        <f t="shared" si="9"/>
        <v>18</v>
      </c>
      <c r="L24" s="212">
        <f>IF(Loan!Q$15=K24,Loan!Q$19,IF(Am!O23&gt;0,Am!O23,0))</f>
        <v>0</v>
      </c>
      <c r="M24" s="212">
        <f>L24*(Loan!Q$11/12)</f>
        <v>0</v>
      </c>
      <c r="N24" s="209">
        <f>IF(L24&gt;0, IF(L24&lt;Loan!Q$21, L24, Loan!Q$21-Am!M24),0)</f>
        <v>0</v>
      </c>
      <c r="O24" s="209">
        <f t="shared" si="10"/>
        <v>0</v>
      </c>
      <c r="P24" s="208">
        <f t="shared" si="2"/>
        <v>0</v>
      </c>
      <c r="Q24" s="209">
        <f t="shared" si="3"/>
        <v>0</v>
      </c>
      <c r="R24" s="210">
        <f>IF(R23&gt;0,R23-S24,IF(K24=Loan!Q$15,Loan!Q$17-S24,0))</f>
        <v>0</v>
      </c>
      <c r="S24" s="210">
        <f>IF(K24&gt;=Loan!Q$15,IF(K24&lt;SUM(Loan!Q$13*12)+Loan!Q$15,Loan!Q$17/SUM(Loan!Q$13*12),0),0)</f>
        <v>0</v>
      </c>
      <c r="U24" s="211">
        <f t="shared" si="11"/>
        <v>18</v>
      </c>
      <c r="V24" s="212">
        <f>IF(Loan!C$37=U24,Loan!C$41,IF(Am!Y23&gt;0,Am!Y23,0))</f>
        <v>0</v>
      </c>
      <c r="W24" s="212">
        <f>V24*(Loan!C$33/12)</f>
        <v>0</v>
      </c>
      <c r="X24" s="209">
        <f>IF(V24&gt;0, IF(V24&lt;Loan!C$43, V24, Loan!C$43-Am!W24),0)</f>
        <v>0</v>
      </c>
      <c r="Y24" s="209">
        <f t="shared" si="12"/>
        <v>0</v>
      </c>
      <c r="Z24" s="208">
        <f t="shared" si="4"/>
        <v>0</v>
      </c>
      <c r="AA24" s="209">
        <f t="shared" si="5"/>
        <v>0</v>
      </c>
      <c r="AB24" s="210">
        <f>IF(AB23&gt;0,AB23-AC24,IF(U24=Loan!C$37,Loan!C$39-AC24,0))</f>
        <v>0</v>
      </c>
      <c r="AC24" s="210">
        <f>IF(U24&gt;=Loan!C$37,IF(U24&lt;SUM(Loan!C$35*12)+Loan!C$37,Loan!C$39/SUM(Loan!C$35*12),0),0)</f>
        <v>0</v>
      </c>
      <c r="AE24" s="211">
        <f t="shared" si="13"/>
        <v>18</v>
      </c>
      <c r="AF24" s="212">
        <f>IF(Loan!Q$37=AE24,Loan!Q$41,IF(Am!AI23&gt;0,Am!AI23,0))</f>
        <v>0</v>
      </c>
      <c r="AG24" s="212">
        <f>AF24*(Loan!Q$33/12)</f>
        <v>0</v>
      </c>
      <c r="AH24" s="209">
        <f>IF(AF24&gt;0, IF(AF24&lt;Loan!Q$43, AF24, Loan!Q$43-Am!AG24),0)</f>
        <v>0</v>
      </c>
      <c r="AI24" s="209">
        <f t="shared" si="14"/>
        <v>0</v>
      </c>
      <c r="AJ24" s="208">
        <f t="shared" si="6"/>
        <v>0</v>
      </c>
      <c r="AK24" s="209">
        <f t="shared" si="7"/>
        <v>0</v>
      </c>
      <c r="AL24" s="210">
        <f>IF(AL23&gt;0,AL23-AM24,IF(AE24=Loan!Q$37,Loan!Q$39-AM24,0))</f>
        <v>0</v>
      </c>
      <c r="AM24" s="210">
        <f>IF(AE24&gt;=Loan!Q$37,IF(AE24&lt;SUM(Loan!Q$35*12)+Loan!Q$37,Loan!Q$39/SUM(Loan!Q$35*12),0),0)</f>
        <v>0</v>
      </c>
      <c r="AO24" s="210">
        <f t="shared" si="15"/>
        <v>0</v>
      </c>
    </row>
    <row r="25" spans="1:41" ht="15" customHeight="1">
      <c r="A25" s="205">
        <f t="shared" si="16"/>
        <v>19</v>
      </c>
      <c r="B25" s="206">
        <f>IF(Loan!C$15=A25,Loan!C$19,IF(Am!E24&gt;0,Am!E24,0))</f>
        <v>14664.744006989296</v>
      </c>
      <c r="C25" s="206">
        <f>B25*(Loan!C$11/12)</f>
        <v>79.43403003785869</v>
      </c>
      <c r="D25" s="207">
        <f>IF(B25&gt;0, IF(B25&lt;Loan!C$21, B25,Loan!C$21-Am!C25),0)</f>
        <v>311.88893433671217</v>
      </c>
      <c r="E25" s="207">
        <f t="shared" si="8"/>
        <v>14352.855072652585</v>
      </c>
      <c r="F25" s="208">
        <f t="shared" si="0"/>
        <v>3877.093235237056</v>
      </c>
      <c r="G25" s="209">
        <f t="shared" si="1"/>
        <v>10475.761837415528</v>
      </c>
      <c r="H25" s="210">
        <f>IF(H24&gt;0,H24-I25,IF(A25=Loan!C$15,Loan!C$17-I25,0))</f>
        <v>0</v>
      </c>
      <c r="I25" s="210">
        <f>IF(A25&gt;=Loan!C$15,IF(A25&lt;SUM(Loan!C$13*12)+Loan!C$15,Loan!C$17/SUM(Loan!C$13*12),0),0)</f>
        <v>0</v>
      </c>
      <c r="K25" s="211">
        <f t="shared" si="9"/>
        <v>19</v>
      </c>
      <c r="L25" s="212">
        <f>IF(Loan!Q$15=K25,Loan!Q$19,IF(Am!O24&gt;0,Am!O24,0))</f>
        <v>0</v>
      </c>
      <c r="M25" s="212">
        <f>L25*(Loan!Q$11/12)</f>
        <v>0</v>
      </c>
      <c r="N25" s="209">
        <f>IF(L25&gt;0, IF(L25&lt;Loan!Q$21, L25, Loan!Q$21-Am!M25),0)</f>
        <v>0</v>
      </c>
      <c r="O25" s="209">
        <f t="shared" si="10"/>
        <v>0</v>
      </c>
      <c r="P25" s="208">
        <f t="shared" si="2"/>
        <v>0</v>
      </c>
      <c r="Q25" s="209">
        <f t="shared" si="3"/>
        <v>0</v>
      </c>
      <c r="R25" s="210">
        <f>IF(R24&gt;0,R24-S25,IF(K25=Loan!Q$15,Loan!Q$17-S25,0))</f>
        <v>0</v>
      </c>
      <c r="S25" s="210">
        <f>IF(K25&gt;=Loan!Q$15,IF(K25&lt;SUM(Loan!Q$13*12)+Loan!Q$15,Loan!Q$17/SUM(Loan!Q$13*12),0),0)</f>
        <v>0</v>
      </c>
      <c r="U25" s="211">
        <f t="shared" si="11"/>
        <v>19</v>
      </c>
      <c r="V25" s="212">
        <f>IF(Loan!C$37=U25,Loan!C$41,IF(Am!Y24&gt;0,Am!Y24,0))</f>
        <v>0</v>
      </c>
      <c r="W25" s="212">
        <f>V25*(Loan!C$33/12)</f>
        <v>0</v>
      </c>
      <c r="X25" s="209">
        <f>IF(V25&gt;0, IF(V25&lt;Loan!C$43, V25, Loan!C$43-Am!W25),0)</f>
        <v>0</v>
      </c>
      <c r="Y25" s="209">
        <f t="shared" si="12"/>
        <v>0</v>
      </c>
      <c r="Z25" s="208">
        <f t="shared" si="4"/>
        <v>0</v>
      </c>
      <c r="AA25" s="209">
        <f t="shared" si="5"/>
        <v>0</v>
      </c>
      <c r="AB25" s="210">
        <f>IF(AB24&gt;0,AB24-AC25,IF(U25=Loan!C$37,Loan!C$39-AC25,0))</f>
        <v>0</v>
      </c>
      <c r="AC25" s="210">
        <f>IF(U25&gt;=Loan!C$37,IF(U25&lt;SUM(Loan!C$35*12)+Loan!C$37,Loan!C$39/SUM(Loan!C$35*12),0),0)</f>
        <v>0</v>
      </c>
      <c r="AE25" s="211">
        <f t="shared" si="13"/>
        <v>19</v>
      </c>
      <c r="AF25" s="212">
        <f>IF(Loan!Q$37=AE25,Loan!Q$41,IF(Am!AI24&gt;0,Am!AI24,0))</f>
        <v>0</v>
      </c>
      <c r="AG25" s="212">
        <f>AF25*(Loan!Q$33/12)</f>
        <v>0</v>
      </c>
      <c r="AH25" s="209">
        <f>IF(AF25&gt;0, IF(AF25&lt;Loan!Q$43, AF25, Loan!Q$43-Am!AG25),0)</f>
        <v>0</v>
      </c>
      <c r="AI25" s="209">
        <f t="shared" si="14"/>
        <v>0</v>
      </c>
      <c r="AJ25" s="208">
        <f t="shared" si="6"/>
        <v>0</v>
      </c>
      <c r="AK25" s="209">
        <f t="shared" si="7"/>
        <v>0</v>
      </c>
      <c r="AL25" s="210">
        <f>IF(AL24&gt;0,AL24-AM25,IF(AE25=Loan!Q$37,Loan!Q$39-AM25,0))</f>
        <v>0</v>
      </c>
      <c r="AM25" s="210">
        <f>IF(AE25&gt;=Loan!Q$37,IF(AE25&lt;SUM(Loan!Q$35*12)+Loan!Q$37,Loan!Q$39/SUM(Loan!Q$35*12),0),0)</f>
        <v>0</v>
      </c>
      <c r="AO25" s="210">
        <f t="shared" si="15"/>
        <v>0</v>
      </c>
    </row>
    <row r="26" spans="1:41" ht="15" customHeight="1">
      <c r="A26" s="205">
        <f t="shared" si="16"/>
        <v>20</v>
      </c>
      <c r="B26" s="206">
        <f>IF(Loan!C$15=A26,Loan!C$19,IF(Am!E25&gt;0,Am!E25,0))</f>
        <v>14352.855072652585</v>
      </c>
      <c r="C26" s="206">
        <f>B26*(Loan!C$11/12)</f>
        <v>77.744631643534831</v>
      </c>
      <c r="D26" s="207">
        <f>IF(B26&gt;0, IF(B26&lt;Loan!C$21, B26,Loan!C$21-Am!C26),0)</f>
        <v>313.57833273103603</v>
      </c>
      <c r="E26" s="207">
        <f t="shared" si="8"/>
        <v>14039.276739921548</v>
      </c>
      <c r="F26" s="208">
        <f t="shared" si="0"/>
        <v>3898.094156927923</v>
      </c>
      <c r="G26" s="209">
        <f t="shared" si="1"/>
        <v>10141.182582993624</v>
      </c>
      <c r="H26" s="210">
        <f>IF(H25&gt;0,H25-I26,IF(A26=Loan!C$15,Loan!C$17-I26,0))</f>
        <v>0</v>
      </c>
      <c r="I26" s="210">
        <f>IF(A26&gt;=Loan!C$15,IF(A26&lt;SUM(Loan!C$13*12)+Loan!C$15,Loan!C$17/SUM(Loan!C$13*12),0),0)</f>
        <v>0</v>
      </c>
      <c r="K26" s="211">
        <f t="shared" si="9"/>
        <v>20</v>
      </c>
      <c r="L26" s="212">
        <f>IF(Loan!Q$15=K26,Loan!Q$19,IF(Am!O25&gt;0,Am!O25,0))</f>
        <v>0</v>
      </c>
      <c r="M26" s="212">
        <f>L26*(Loan!Q$11/12)</f>
        <v>0</v>
      </c>
      <c r="N26" s="209">
        <f>IF(L26&gt;0, IF(L26&lt;Loan!Q$21, L26, Loan!Q$21-Am!M26),0)</f>
        <v>0</v>
      </c>
      <c r="O26" s="209">
        <f t="shared" si="10"/>
        <v>0</v>
      </c>
      <c r="P26" s="208">
        <f t="shared" si="2"/>
        <v>0</v>
      </c>
      <c r="Q26" s="209">
        <f t="shared" si="3"/>
        <v>0</v>
      </c>
      <c r="R26" s="210">
        <f>IF(R25&gt;0,R25-S26,IF(K26=Loan!Q$15,Loan!Q$17-S26,0))</f>
        <v>0</v>
      </c>
      <c r="S26" s="210">
        <f>IF(K26&gt;=Loan!Q$15,IF(K26&lt;SUM(Loan!Q$13*12)+Loan!Q$15,Loan!Q$17/SUM(Loan!Q$13*12),0),0)</f>
        <v>0</v>
      </c>
      <c r="U26" s="211">
        <f t="shared" si="11"/>
        <v>20</v>
      </c>
      <c r="V26" s="212">
        <f>IF(Loan!C$37=U26,Loan!C$41,IF(Am!Y25&gt;0,Am!Y25,0))</f>
        <v>0</v>
      </c>
      <c r="W26" s="212">
        <f>V26*(Loan!C$33/12)</f>
        <v>0</v>
      </c>
      <c r="X26" s="209">
        <f>IF(V26&gt;0, IF(V26&lt;Loan!C$43, V26, Loan!C$43-Am!W26),0)</f>
        <v>0</v>
      </c>
      <c r="Y26" s="209">
        <f t="shared" si="12"/>
        <v>0</v>
      </c>
      <c r="Z26" s="208">
        <f t="shared" si="4"/>
        <v>0</v>
      </c>
      <c r="AA26" s="209">
        <f t="shared" si="5"/>
        <v>0</v>
      </c>
      <c r="AB26" s="210">
        <f>IF(AB25&gt;0,AB25-AC26,IF(U26=Loan!C$37,Loan!C$39-AC26,0))</f>
        <v>0</v>
      </c>
      <c r="AC26" s="210">
        <f>IF(U26&gt;=Loan!C$37,IF(U26&lt;SUM(Loan!C$35*12)+Loan!C$37,Loan!C$39/SUM(Loan!C$35*12),0),0)</f>
        <v>0</v>
      </c>
      <c r="AE26" s="211">
        <f t="shared" si="13"/>
        <v>20</v>
      </c>
      <c r="AF26" s="212">
        <f>IF(Loan!Q$37=AE26,Loan!Q$41,IF(Am!AI25&gt;0,Am!AI25,0))</f>
        <v>0</v>
      </c>
      <c r="AG26" s="212">
        <f>AF26*(Loan!Q$33/12)</f>
        <v>0</v>
      </c>
      <c r="AH26" s="209">
        <f>IF(AF26&gt;0, IF(AF26&lt;Loan!Q$43, AF26, Loan!Q$43-Am!AG26),0)</f>
        <v>0</v>
      </c>
      <c r="AI26" s="209">
        <f t="shared" si="14"/>
        <v>0</v>
      </c>
      <c r="AJ26" s="208">
        <f t="shared" si="6"/>
        <v>0</v>
      </c>
      <c r="AK26" s="209">
        <f t="shared" si="7"/>
        <v>0</v>
      </c>
      <c r="AL26" s="210">
        <f>IF(AL25&gt;0,AL25-AM26,IF(AE26=Loan!Q$37,Loan!Q$39-AM26,0))</f>
        <v>0</v>
      </c>
      <c r="AM26" s="210">
        <f>IF(AE26&gt;=Loan!Q$37,IF(AE26&lt;SUM(Loan!Q$35*12)+Loan!Q$37,Loan!Q$39/SUM(Loan!Q$35*12),0),0)</f>
        <v>0</v>
      </c>
      <c r="AO26" s="210">
        <f t="shared" si="15"/>
        <v>0</v>
      </c>
    </row>
    <row r="27" spans="1:41" ht="15" customHeight="1">
      <c r="A27" s="205">
        <f t="shared" si="16"/>
        <v>21</v>
      </c>
      <c r="B27" s="206">
        <f>IF(Loan!C$15=A27,Loan!C$19,IF(Am!E26&gt;0,Am!E26,0))</f>
        <v>14039.276739921548</v>
      </c>
      <c r="C27" s="206">
        <f>B27*(Loan!C$11/12)</f>
        <v>76.046082341241728</v>
      </c>
      <c r="D27" s="207">
        <f>IF(B27&gt;0, IF(B27&lt;Loan!C$21, B27,Loan!C$21-Am!C27),0)</f>
        <v>315.27688203332912</v>
      </c>
      <c r="E27" s="207">
        <f t="shared" si="8"/>
        <v>13723.999857888219</v>
      </c>
      <c r="F27" s="208">
        <f t="shared" si="0"/>
        <v>3919.2088336112834</v>
      </c>
      <c r="G27" s="209">
        <f t="shared" si="1"/>
        <v>9804.7910242769358</v>
      </c>
      <c r="H27" s="210">
        <f>IF(H26&gt;0,H26-I27,IF(A27=Loan!C$15,Loan!C$17-I27,0))</f>
        <v>0</v>
      </c>
      <c r="I27" s="210">
        <f>IF(A27&gt;=Loan!C$15,IF(A27&lt;SUM(Loan!C$13*12)+Loan!C$15,Loan!C$17/SUM(Loan!C$13*12),0),0)</f>
        <v>0</v>
      </c>
      <c r="K27" s="211">
        <f t="shared" si="9"/>
        <v>21</v>
      </c>
      <c r="L27" s="212">
        <f>IF(Loan!Q$15=K27,Loan!Q$19,IF(Am!O26&gt;0,Am!O26,0))</f>
        <v>0</v>
      </c>
      <c r="M27" s="212">
        <f>L27*(Loan!Q$11/12)</f>
        <v>0</v>
      </c>
      <c r="N27" s="209">
        <f>IF(L27&gt;0, IF(L27&lt;Loan!Q$21, L27, Loan!Q$21-Am!M27),0)</f>
        <v>0</v>
      </c>
      <c r="O27" s="209">
        <f t="shared" si="10"/>
        <v>0</v>
      </c>
      <c r="P27" s="208">
        <f t="shared" si="2"/>
        <v>0</v>
      </c>
      <c r="Q27" s="209">
        <f t="shared" si="3"/>
        <v>0</v>
      </c>
      <c r="R27" s="210">
        <f>IF(R26&gt;0,R26-S27,IF(K27=Loan!Q$15,Loan!Q$17-S27,0))</f>
        <v>0</v>
      </c>
      <c r="S27" s="210">
        <f>IF(K27&gt;=Loan!Q$15,IF(K27&lt;SUM(Loan!Q$13*12)+Loan!Q$15,Loan!Q$17/SUM(Loan!Q$13*12),0),0)</f>
        <v>0</v>
      </c>
      <c r="U27" s="211">
        <f t="shared" si="11"/>
        <v>21</v>
      </c>
      <c r="V27" s="212">
        <f>IF(Loan!C$37=U27,Loan!C$41,IF(Am!Y26&gt;0,Am!Y26,0))</f>
        <v>0</v>
      </c>
      <c r="W27" s="212">
        <f>V27*(Loan!C$33/12)</f>
        <v>0</v>
      </c>
      <c r="X27" s="209">
        <f>IF(V27&gt;0, IF(V27&lt;Loan!C$43, V27, Loan!C$43-Am!W27),0)</f>
        <v>0</v>
      </c>
      <c r="Y27" s="209">
        <f t="shared" si="12"/>
        <v>0</v>
      </c>
      <c r="Z27" s="208">
        <f t="shared" si="4"/>
        <v>0</v>
      </c>
      <c r="AA27" s="209">
        <f t="shared" si="5"/>
        <v>0</v>
      </c>
      <c r="AB27" s="210">
        <f>IF(AB26&gt;0,AB26-AC27,IF(U27=Loan!C$37,Loan!C$39-AC27,0))</f>
        <v>0</v>
      </c>
      <c r="AC27" s="210">
        <f>IF(U27&gt;=Loan!C$37,IF(U27&lt;SUM(Loan!C$35*12)+Loan!C$37,Loan!C$39/SUM(Loan!C$35*12),0),0)</f>
        <v>0</v>
      </c>
      <c r="AE27" s="211">
        <f t="shared" si="13"/>
        <v>21</v>
      </c>
      <c r="AF27" s="212">
        <f>IF(Loan!Q$37=AE27,Loan!Q$41,IF(Am!AI26&gt;0,Am!AI26,0))</f>
        <v>0</v>
      </c>
      <c r="AG27" s="212">
        <f>AF27*(Loan!Q$33/12)</f>
        <v>0</v>
      </c>
      <c r="AH27" s="209">
        <f>IF(AF27&gt;0, IF(AF27&lt;Loan!Q$43, AF27, Loan!Q$43-Am!AG27),0)</f>
        <v>0</v>
      </c>
      <c r="AI27" s="209">
        <f t="shared" si="14"/>
        <v>0</v>
      </c>
      <c r="AJ27" s="208">
        <f t="shared" si="6"/>
        <v>0</v>
      </c>
      <c r="AK27" s="209">
        <f t="shared" si="7"/>
        <v>0</v>
      </c>
      <c r="AL27" s="210">
        <f>IF(AL26&gt;0,AL26-AM27,IF(AE27=Loan!Q$37,Loan!Q$39-AM27,0))</f>
        <v>0</v>
      </c>
      <c r="AM27" s="210">
        <f>IF(AE27&gt;=Loan!Q$37,IF(AE27&lt;SUM(Loan!Q$35*12)+Loan!Q$37,Loan!Q$39/SUM(Loan!Q$35*12),0),0)</f>
        <v>0</v>
      </c>
      <c r="AO27" s="210">
        <f t="shared" si="15"/>
        <v>0</v>
      </c>
    </row>
    <row r="28" spans="1:41" ht="15" customHeight="1">
      <c r="A28" s="205">
        <f t="shared" si="16"/>
        <v>22</v>
      </c>
      <c r="B28" s="206">
        <f>IF(Loan!C$15=A28,Loan!C$19,IF(Am!E27&gt;0,Am!E27,0))</f>
        <v>13723.999857888219</v>
      </c>
      <c r="C28" s="206">
        <f>B28*(Loan!C$11/12)</f>
        <v>74.338332563561181</v>
      </c>
      <c r="D28" s="207">
        <f>IF(B28&gt;0, IF(B28&lt;Loan!C$21, B28,Loan!C$21-Am!C28),0)</f>
        <v>316.98463181100965</v>
      </c>
      <c r="E28" s="207">
        <f t="shared" si="8"/>
        <v>13407.015226077208</v>
      </c>
      <c r="F28" s="208">
        <f t="shared" si="0"/>
        <v>3940.4378814600113</v>
      </c>
      <c r="G28" s="209">
        <f t="shared" si="1"/>
        <v>9466.577344617197</v>
      </c>
      <c r="H28" s="210">
        <f>IF(H27&gt;0,H27-I28,IF(A28=Loan!C$15,Loan!C$17-I28,0))</f>
        <v>0</v>
      </c>
      <c r="I28" s="210">
        <f>IF(A28&gt;=Loan!C$15,IF(A28&lt;SUM(Loan!C$13*12)+Loan!C$15,Loan!C$17/SUM(Loan!C$13*12),0),0)</f>
        <v>0</v>
      </c>
      <c r="K28" s="211">
        <f t="shared" si="9"/>
        <v>22</v>
      </c>
      <c r="L28" s="212">
        <f>IF(Loan!Q$15=K28,Loan!Q$19,IF(Am!O27&gt;0,Am!O27,0))</f>
        <v>0</v>
      </c>
      <c r="M28" s="212">
        <f>L28*(Loan!Q$11/12)</f>
        <v>0</v>
      </c>
      <c r="N28" s="209">
        <f>IF(L28&gt;0, IF(L28&lt;Loan!Q$21, L28, Loan!Q$21-Am!M28),0)</f>
        <v>0</v>
      </c>
      <c r="O28" s="209">
        <f t="shared" si="10"/>
        <v>0</v>
      </c>
      <c r="P28" s="208">
        <f t="shared" si="2"/>
        <v>0</v>
      </c>
      <c r="Q28" s="209">
        <f t="shared" si="3"/>
        <v>0</v>
      </c>
      <c r="R28" s="210">
        <f>IF(R27&gt;0,R27-S28,IF(K28=Loan!Q$15,Loan!Q$17-S28,0))</f>
        <v>0</v>
      </c>
      <c r="S28" s="210">
        <f>IF(K28&gt;=Loan!Q$15,IF(K28&lt;SUM(Loan!Q$13*12)+Loan!Q$15,Loan!Q$17/SUM(Loan!Q$13*12),0),0)</f>
        <v>0</v>
      </c>
      <c r="U28" s="211">
        <f t="shared" si="11"/>
        <v>22</v>
      </c>
      <c r="V28" s="212">
        <f>IF(Loan!C$37=U28,Loan!C$41,IF(Am!Y27&gt;0,Am!Y27,0))</f>
        <v>0</v>
      </c>
      <c r="W28" s="212">
        <f>V28*(Loan!C$33/12)</f>
        <v>0</v>
      </c>
      <c r="X28" s="209">
        <f>IF(V28&gt;0, IF(V28&lt;Loan!C$43, V28, Loan!C$43-Am!W28),0)</f>
        <v>0</v>
      </c>
      <c r="Y28" s="209">
        <f t="shared" si="12"/>
        <v>0</v>
      </c>
      <c r="Z28" s="208">
        <f t="shared" si="4"/>
        <v>0</v>
      </c>
      <c r="AA28" s="209">
        <f t="shared" si="5"/>
        <v>0</v>
      </c>
      <c r="AB28" s="210">
        <f>IF(AB27&gt;0,AB27-AC28,IF(U28=Loan!C$37,Loan!C$39-AC28,0))</f>
        <v>0</v>
      </c>
      <c r="AC28" s="210">
        <f>IF(U28&gt;=Loan!C$37,IF(U28&lt;SUM(Loan!C$35*12)+Loan!C$37,Loan!C$39/SUM(Loan!C$35*12),0),0)</f>
        <v>0</v>
      </c>
      <c r="AE28" s="211">
        <f t="shared" si="13"/>
        <v>22</v>
      </c>
      <c r="AF28" s="212">
        <f>IF(Loan!Q$37=AE28,Loan!Q$41,IF(Am!AI27&gt;0,Am!AI27,0))</f>
        <v>0</v>
      </c>
      <c r="AG28" s="212">
        <f>AF28*(Loan!Q$33/12)</f>
        <v>0</v>
      </c>
      <c r="AH28" s="209">
        <f>IF(AF28&gt;0, IF(AF28&lt;Loan!Q$43, AF28, Loan!Q$43-Am!AG28),0)</f>
        <v>0</v>
      </c>
      <c r="AI28" s="209">
        <f t="shared" si="14"/>
        <v>0</v>
      </c>
      <c r="AJ28" s="208">
        <f t="shared" si="6"/>
        <v>0</v>
      </c>
      <c r="AK28" s="209">
        <f t="shared" si="7"/>
        <v>0</v>
      </c>
      <c r="AL28" s="210">
        <f>IF(AL27&gt;0,AL27-AM28,IF(AE28=Loan!Q$37,Loan!Q$39-AM28,0))</f>
        <v>0</v>
      </c>
      <c r="AM28" s="210">
        <f>IF(AE28&gt;=Loan!Q$37,IF(AE28&lt;SUM(Loan!Q$35*12)+Loan!Q$37,Loan!Q$39/SUM(Loan!Q$35*12),0),0)</f>
        <v>0</v>
      </c>
      <c r="AO28" s="210">
        <f t="shared" si="15"/>
        <v>0</v>
      </c>
    </row>
    <row r="29" spans="1:41" ht="15" customHeight="1">
      <c r="A29" s="205">
        <f t="shared" si="16"/>
        <v>23</v>
      </c>
      <c r="B29" s="206">
        <f>IF(Loan!C$15=A29,Loan!C$19,IF(Am!E28&gt;0,Am!E28,0))</f>
        <v>13407.015226077208</v>
      </c>
      <c r="C29" s="206">
        <f>B29*(Loan!C$11/12)</f>
        <v>72.621332474584875</v>
      </c>
      <c r="D29" s="207">
        <f>IF(B29&gt;0, IF(B29&lt;Loan!C$21, B29,Loan!C$21-Am!C29),0)</f>
        <v>318.70163189998595</v>
      </c>
      <c r="E29" s="207">
        <f t="shared" si="8"/>
        <v>13088.313594177222</v>
      </c>
      <c r="F29" s="208">
        <f t="shared" si="0"/>
        <v>3961.7819199845862</v>
      </c>
      <c r="G29" s="209">
        <f t="shared" si="1"/>
        <v>9126.5316741926363</v>
      </c>
      <c r="H29" s="210">
        <f>IF(H28&gt;0,H28-I29,IF(A29=Loan!C$15,Loan!C$17-I29,0))</f>
        <v>0</v>
      </c>
      <c r="I29" s="210">
        <f>IF(A29&gt;=Loan!C$15,IF(A29&lt;SUM(Loan!C$13*12)+Loan!C$15,Loan!C$17/SUM(Loan!C$13*12),0),0)</f>
        <v>0</v>
      </c>
      <c r="K29" s="211">
        <f t="shared" si="9"/>
        <v>23</v>
      </c>
      <c r="L29" s="212">
        <f>IF(Loan!Q$15=K29,Loan!Q$19,IF(Am!O28&gt;0,Am!O28,0))</f>
        <v>0</v>
      </c>
      <c r="M29" s="212">
        <f>L29*(Loan!Q$11/12)</f>
        <v>0</v>
      </c>
      <c r="N29" s="209">
        <f>IF(L29&gt;0, IF(L29&lt;Loan!Q$21, L29, Loan!Q$21-Am!M29),0)</f>
        <v>0</v>
      </c>
      <c r="O29" s="209">
        <f t="shared" si="10"/>
        <v>0</v>
      </c>
      <c r="P29" s="208">
        <f t="shared" si="2"/>
        <v>0</v>
      </c>
      <c r="Q29" s="209">
        <f t="shared" si="3"/>
        <v>0</v>
      </c>
      <c r="R29" s="210">
        <f>IF(R28&gt;0,R28-S29,IF(K29=Loan!Q$15,Loan!Q$17-S29,0))</f>
        <v>0</v>
      </c>
      <c r="S29" s="210">
        <f>IF(K29&gt;=Loan!Q$15,IF(K29&lt;SUM(Loan!Q$13*12)+Loan!Q$15,Loan!Q$17/SUM(Loan!Q$13*12),0),0)</f>
        <v>0</v>
      </c>
      <c r="U29" s="211">
        <f t="shared" si="11"/>
        <v>23</v>
      </c>
      <c r="V29" s="212">
        <f>IF(Loan!C$37=U29,Loan!C$41,IF(Am!Y28&gt;0,Am!Y28,0))</f>
        <v>0</v>
      </c>
      <c r="W29" s="212">
        <f>V29*(Loan!C$33/12)</f>
        <v>0</v>
      </c>
      <c r="X29" s="209">
        <f>IF(V29&gt;0, IF(V29&lt;Loan!C$43, V29, Loan!C$43-Am!W29),0)</f>
        <v>0</v>
      </c>
      <c r="Y29" s="209">
        <f t="shared" si="12"/>
        <v>0</v>
      </c>
      <c r="Z29" s="208">
        <f t="shared" si="4"/>
        <v>0</v>
      </c>
      <c r="AA29" s="209">
        <f t="shared" si="5"/>
        <v>0</v>
      </c>
      <c r="AB29" s="210">
        <f>IF(AB28&gt;0,AB28-AC29,IF(U29=Loan!C$37,Loan!C$39-AC29,0))</f>
        <v>0</v>
      </c>
      <c r="AC29" s="210">
        <f>IF(U29&gt;=Loan!C$37,IF(U29&lt;SUM(Loan!C$35*12)+Loan!C$37,Loan!C$39/SUM(Loan!C$35*12),0),0)</f>
        <v>0</v>
      </c>
      <c r="AE29" s="211">
        <f t="shared" si="13"/>
        <v>23</v>
      </c>
      <c r="AF29" s="212">
        <f>IF(Loan!Q$37=AE29,Loan!Q$41,IF(Am!AI28&gt;0,Am!AI28,0))</f>
        <v>0</v>
      </c>
      <c r="AG29" s="212">
        <f>AF29*(Loan!Q$33/12)</f>
        <v>0</v>
      </c>
      <c r="AH29" s="209">
        <f>IF(AF29&gt;0, IF(AF29&lt;Loan!Q$43, AF29, Loan!Q$43-Am!AG29),0)</f>
        <v>0</v>
      </c>
      <c r="AI29" s="209">
        <f t="shared" si="14"/>
        <v>0</v>
      </c>
      <c r="AJ29" s="208">
        <f t="shared" si="6"/>
        <v>0</v>
      </c>
      <c r="AK29" s="209">
        <f t="shared" si="7"/>
        <v>0</v>
      </c>
      <c r="AL29" s="210">
        <f>IF(AL28&gt;0,AL28-AM29,IF(AE29=Loan!Q$37,Loan!Q$39-AM29,0))</f>
        <v>0</v>
      </c>
      <c r="AM29" s="210">
        <f>IF(AE29&gt;=Loan!Q$37,IF(AE29&lt;SUM(Loan!Q$35*12)+Loan!Q$37,Loan!Q$39/SUM(Loan!Q$35*12),0),0)</f>
        <v>0</v>
      </c>
      <c r="AO29" s="210">
        <f t="shared" si="15"/>
        <v>0</v>
      </c>
    </row>
    <row r="30" spans="1:41" ht="15" customHeight="1">
      <c r="A30" s="213">
        <f t="shared" si="16"/>
        <v>24</v>
      </c>
      <c r="B30" s="214">
        <f>IF(Loan!C$15=A30,Loan!C$19,IF(Am!E29&gt;0,Am!E29,0))</f>
        <v>13088.313594177222</v>
      </c>
      <c r="C30" s="214">
        <f>B30*(Loan!C$11/12)</f>
        <v>70.895031968459946</v>
      </c>
      <c r="D30" s="215">
        <f>IF(B30&gt;0, IF(B30&lt;Loan!C$21, B30,Loan!C$21-Am!C30),0)</f>
        <v>320.42793240611093</v>
      </c>
      <c r="E30" s="215">
        <f t="shared" si="8"/>
        <v>12767.88566177111</v>
      </c>
      <c r="F30" s="216">
        <f t="shared" si="0"/>
        <v>3983.2415720511694</v>
      </c>
      <c r="G30" s="217">
        <f t="shared" si="1"/>
        <v>8784.6440897199409</v>
      </c>
      <c r="H30" s="218">
        <f>IF(H29&gt;0,H29-I30,IF(A30=Loan!C$15,Loan!C$17-I30,0))</f>
        <v>0</v>
      </c>
      <c r="I30" s="210">
        <f>IF(A30&gt;=Loan!C$15,IF(A30&lt;SUM(Loan!C$13*12)+Loan!C$15,Loan!C$17/SUM(Loan!C$13*12),0),0)</f>
        <v>0</v>
      </c>
      <c r="K30" s="219">
        <f t="shared" si="9"/>
        <v>24</v>
      </c>
      <c r="L30" s="220">
        <f>IF(Loan!Q$15=K30,Loan!Q$19,IF(Am!O29&gt;0,Am!O29,0))</f>
        <v>0</v>
      </c>
      <c r="M30" s="220">
        <f>L30*(Loan!Q$11/12)</f>
        <v>0</v>
      </c>
      <c r="N30" s="217">
        <f>IF(L30&gt;0, IF(L30&lt;Loan!Q$21, L30, Loan!Q$21-Am!M30),0)</f>
        <v>0</v>
      </c>
      <c r="O30" s="217">
        <f t="shared" si="10"/>
        <v>0</v>
      </c>
      <c r="P30" s="216">
        <f t="shared" si="2"/>
        <v>0</v>
      </c>
      <c r="Q30" s="217">
        <f t="shared" si="3"/>
        <v>0</v>
      </c>
      <c r="R30" s="218">
        <f>IF(R29&gt;0,R29-S30,IF(K30=Loan!Q$15,Loan!Q$17-S30,0))</f>
        <v>0</v>
      </c>
      <c r="S30" s="210">
        <f>IF(K30&gt;=Loan!Q$15,IF(K30&lt;SUM(Loan!Q$13*12)+Loan!Q$15,Loan!Q$17/SUM(Loan!Q$13*12),0),0)</f>
        <v>0</v>
      </c>
      <c r="U30" s="219">
        <f t="shared" si="11"/>
        <v>24</v>
      </c>
      <c r="V30" s="220">
        <f>IF(Loan!C$37=U30,Loan!C$41,IF(Am!Y29&gt;0,Am!Y29,0))</f>
        <v>0</v>
      </c>
      <c r="W30" s="220">
        <f>V30*(Loan!C$33/12)</f>
        <v>0</v>
      </c>
      <c r="X30" s="217">
        <f>IF(V30&gt;0, IF(V30&lt;Loan!C$43, V30, Loan!C$43-Am!W30),0)</f>
        <v>0</v>
      </c>
      <c r="Y30" s="217">
        <f t="shared" si="12"/>
        <v>0</v>
      </c>
      <c r="Z30" s="216">
        <f t="shared" si="4"/>
        <v>0</v>
      </c>
      <c r="AA30" s="217">
        <f t="shared" si="5"/>
        <v>0</v>
      </c>
      <c r="AB30" s="218">
        <f>IF(AB29&gt;0,AB29-AC30,IF(U30=Loan!C$37,Loan!C$39-AC30,0))</f>
        <v>0</v>
      </c>
      <c r="AC30" s="210">
        <f>IF(U30&gt;=Loan!C$37,IF(U30&lt;SUM(Loan!C$35*12)+Loan!C$37,Loan!C$39/SUM(Loan!C$35*12),0),0)</f>
        <v>0</v>
      </c>
      <c r="AE30" s="219">
        <f t="shared" si="13"/>
        <v>24</v>
      </c>
      <c r="AF30" s="220">
        <f>IF(Loan!Q$37=AE30,Loan!Q$41,IF(Am!AI29&gt;0,Am!AI29,0))</f>
        <v>0</v>
      </c>
      <c r="AG30" s="220">
        <f>AF30*(Loan!Q$33/12)</f>
        <v>0</v>
      </c>
      <c r="AH30" s="217">
        <f>IF(AF30&gt;0, IF(AF30&lt;Loan!Q$43, AF30, Loan!Q$43-Am!AG30),0)</f>
        <v>0</v>
      </c>
      <c r="AI30" s="217">
        <f t="shared" si="14"/>
        <v>0</v>
      </c>
      <c r="AJ30" s="216">
        <f t="shared" si="6"/>
        <v>0</v>
      </c>
      <c r="AK30" s="217">
        <f t="shared" si="7"/>
        <v>0</v>
      </c>
      <c r="AL30" s="218">
        <f>IF(AL29&gt;0,AL29-AM30,IF(AE30=Loan!Q$37,Loan!Q$39-AM30,0))</f>
        <v>0</v>
      </c>
      <c r="AM30" s="210">
        <f>IF(AE30&gt;=Loan!Q$37,IF(AE30&lt;SUM(Loan!Q$35*12)+Loan!Q$37,Loan!Q$39/SUM(Loan!Q$35*12),0),0)</f>
        <v>0</v>
      </c>
      <c r="AO30" s="218">
        <f t="shared" si="15"/>
        <v>0</v>
      </c>
    </row>
    <row r="31" spans="1:41" ht="15" customHeight="1">
      <c r="A31" s="205">
        <f t="shared" si="16"/>
        <v>25</v>
      </c>
      <c r="B31" s="206">
        <f>IF(Loan!C$15=A31,Loan!C$19,IF(Am!E30&gt;0,Am!E30,0))</f>
        <v>12767.88566177111</v>
      </c>
      <c r="C31" s="206">
        <f>B31*(Loan!C$11/12)</f>
        <v>69.159380667926854</v>
      </c>
      <c r="D31" s="207">
        <f>IF(B31&gt;0, IF(B31&lt;Loan!C$21, B31,Loan!C$21-Am!C31),0)</f>
        <v>322.16358370664398</v>
      </c>
      <c r="E31" s="207">
        <f t="shared" si="8"/>
        <v>12445.722078064466</v>
      </c>
      <c r="F31" s="208">
        <f t="shared" si="0"/>
        <v>4004.8174638997803</v>
      </c>
      <c r="G31" s="209">
        <f t="shared" si="1"/>
        <v>8440.904614164685</v>
      </c>
      <c r="H31" s="201">
        <f>IF(H30&gt;0,H30-I31,IF(A31=Loan!C$15,Loan!C$17-I31,0))</f>
        <v>0</v>
      </c>
      <c r="I31" s="201">
        <f>IF(A31&gt;=Loan!C$15,IF(A31&lt;SUM(Loan!C$13*12)+Loan!C$15,Loan!C$17/SUM(Loan!C$13*12),0),0)</f>
        <v>0</v>
      </c>
      <c r="K31" s="211">
        <f t="shared" si="9"/>
        <v>25</v>
      </c>
      <c r="L31" s="212">
        <f>IF(Loan!Q$15=K31,Loan!Q$19,IF(Am!O30&gt;0,Am!O30,0))</f>
        <v>0</v>
      </c>
      <c r="M31" s="212">
        <f>L31*(Loan!Q$11/12)</f>
        <v>0</v>
      </c>
      <c r="N31" s="209">
        <f>IF(L31&gt;0, IF(L31&lt;Loan!Q$21, L31, Loan!Q$21-Am!M31),0)</f>
        <v>0</v>
      </c>
      <c r="O31" s="209">
        <f t="shared" si="10"/>
        <v>0</v>
      </c>
      <c r="P31" s="208">
        <f t="shared" si="2"/>
        <v>0</v>
      </c>
      <c r="Q31" s="209">
        <f t="shared" si="3"/>
        <v>0</v>
      </c>
      <c r="R31" s="201">
        <f>IF(R30&gt;0,R30-S31,IF(K31=Loan!Q$15,Loan!Q$17-S31,0))</f>
        <v>0</v>
      </c>
      <c r="S31" s="201">
        <f>IF(K31&gt;=Loan!Q$15,IF(K31&lt;SUM(Loan!Q$13*12)+Loan!Q$15,Loan!Q$17/SUM(Loan!Q$13*12),0),0)</f>
        <v>0</v>
      </c>
      <c r="U31" s="211">
        <f t="shared" si="11"/>
        <v>25</v>
      </c>
      <c r="V31" s="212">
        <f>IF(Loan!C$37=U31,Loan!C$41,IF(Am!Y30&gt;0,Am!Y30,0))</f>
        <v>0</v>
      </c>
      <c r="W31" s="212">
        <f>V31*(Loan!C$33/12)</f>
        <v>0</v>
      </c>
      <c r="X31" s="209">
        <f>IF(V31&gt;0, IF(V31&lt;Loan!C$43, V31, Loan!C$43-Am!W31),0)</f>
        <v>0</v>
      </c>
      <c r="Y31" s="209">
        <f t="shared" si="12"/>
        <v>0</v>
      </c>
      <c r="Z31" s="208">
        <f t="shared" si="4"/>
        <v>0</v>
      </c>
      <c r="AA31" s="209">
        <f t="shared" si="5"/>
        <v>0</v>
      </c>
      <c r="AB31" s="201">
        <f>IF(AB30&gt;0,AB30-AC31,IF(U31=Loan!C$37,Loan!C$39-AC31,0))</f>
        <v>0</v>
      </c>
      <c r="AC31" s="201">
        <f>IF(U31&gt;=Loan!C$37,IF(U31&lt;SUM(Loan!C$35*12)+Loan!C$37,Loan!C$39/SUM(Loan!C$35*12),0),0)</f>
        <v>0</v>
      </c>
      <c r="AE31" s="211">
        <f t="shared" si="13"/>
        <v>25</v>
      </c>
      <c r="AF31" s="212">
        <f>IF(Loan!Q$37=AE31,Loan!Q$41,IF(Am!AI30&gt;0,Am!AI30,0))</f>
        <v>0</v>
      </c>
      <c r="AG31" s="212">
        <f>AF31*(Loan!Q$33/12)</f>
        <v>0</v>
      </c>
      <c r="AH31" s="209">
        <f>IF(AF31&gt;0, IF(AF31&lt;Loan!Q$43, AF31, Loan!Q$43-Am!AG31),0)</f>
        <v>0</v>
      </c>
      <c r="AI31" s="209">
        <f t="shared" si="14"/>
        <v>0</v>
      </c>
      <c r="AJ31" s="208">
        <f t="shared" si="6"/>
        <v>0</v>
      </c>
      <c r="AK31" s="209">
        <f t="shared" si="7"/>
        <v>0</v>
      </c>
      <c r="AL31" s="201">
        <f>IF(AL30&gt;0,AL30-AM31,IF(AE31=Loan!Q$37,Loan!Q$39-AM31,0))</f>
        <v>0</v>
      </c>
      <c r="AM31" s="201">
        <f>IF(AE31&gt;=Loan!Q$37,IF(AE31&lt;SUM(Loan!Q$35*12)+Loan!Q$37,Loan!Q$39/SUM(Loan!Q$35*12),0),0)</f>
        <v>0</v>
      </c>
      <c r="AO31" s="210">
        <f t="shared" si="15"/>
        <v>0</v>
      </c>
    </row>
    <row r="32" spans="1:41" ht="15" customHeight="1">
      <c r="A32" s="205">
        <f t="shared" si="16"/>
        <v>26</v>
      </c>
      <c r="B32" s="206">
        <f>IF(Loan!C$15=A32,Loan!C$19,IF(Am!E31&gt;0,Am!E31,0))</f>
        <v>12445.722078064466</v>
      </c>
      <c r="C32" s="206">
        <f>B32*(Loan!C$11/12)</f>
        <v>67.414327922849196</v>
      </c>
      <c r="D32" s="207">
        <f>IF(B32&gt;0, IF(B32&lt;Loan!C$21, B32,Loan!C$21-Am!C32),0)</f>
        <v>323.90863645172169</v>
      </c>
      <c r="E32" s="207">
        <f t="shared" si="8"/>
        <v>12121.813441612743</v>
      </c>
      <c r="F32" s="208">
        <f t="shared" si="0"/>
        <v>4026.5102251625704</v>
      </c>
      <c r="G32" s="209">
        <f t="shared" si="1"/>
        <v>8095.3032164501728</v>
      </c>
      <c r="H32" s="210">
        <f>IF(H31&gt;0,H31-I32,IF(A32=Loan!C$15,Loan!C$17-I32,0))</f>
        <v>0</v>
      </c>
      <c r="I32" s="210">
        <f>IF(A32&gt;=Loan!C$15,IF(A32&lt;SUM(Loan!C$13*12)+Loan!C$15,Loan!C$17/SUM(Loan!C$13*12),0),0)</f>
        <v>0</v>
      </c>
      <c r="K32" s="211">
        <f t="shared" si="9"/>
        <v>26</v>
      </c>
      <c r="L32" s="212">
        <f>IF(Loan!Q$15=K32,Loan!Q$19,IF(Am!O31&gt;0,Am!O31,0))</f>
        <v>0</v>
      </c>
      <c r="M32" s="212">
        <f>L32*(Loan!Q$11/12)</f>
        <v>0</v>
      </c>
      <c r="N32" s="209">
        <f>IF(L32&gt;0, IF(L32&lt;Loan!Q$21, L32, Loan!Q$21-Am!M32),0)</f>
        <v>0</v>
      </c>
      <c r="O32" s="209">
        <f t="shared" si="10"/>
        <v>0</v>
      </c>
      <c r="P32" s="208">
        <f t="shared" si="2"/>
        <v>0</v>
      </c>
      <c r="Q32" s="209">
        <f t="shared" si="3"/>
        <v>0</v>
      </c>
      <c r="R32" s="210">
        <f>IF(R31&gt;0,R31-S32,IF(K32=Loan!Q$15,Loan!Q$17-S32,0))</f>
        <v>0</v>
      </c>
      <c r="S32" s="210">
        <f>IF(K32&gt;=Loan!Q$15,IF(K32&lt;SUM(Loan!Q$13*12)+Loan!Q$15,Loan!Q$17/SUM(Loan!Q$13*12),0),0)</f>
        <v>0</v>
      </c>
      <c r="U32" s="211">
        <f t="shared" si="11"/>
        <v>26</v>
      </c>
      <c r="V32" s="212">
        <f>IF(Loan!C$37=U32,Loan!C$41,IF(Am!Y31&gt;0,Am!Y31,0))</f>
        <v>0</v>
      </c>
      <c r="W32" s="212">
        <f>V32*(Loan!C$33/12)</f>
        <v>0</v>
      </c>
      <c r="X32" s="209">
        <f>IF(V32&gt;0, IF(V32&lt;Loan!C$43, V32, Loan!C$43-Am!W32),0)</f>
        <v>0</v>
      </c>
      <c r="Y32" s="209">
        <f t="shared" si="12"/>
        <v>0</v>
      </c>
      <c r="Z32" s="208">
        <f t="shared" si="4"/>
        <v>0</v>
      </c>
      <c r="AA32" s="209">
        <f t="shared" si="5"/>
        <v>0</v>
      </c>
      <c r="AB32" s="210">
        <f>IF(AB31&gt;0,AB31-AC32,IF(U32=Loan!C$37,Loan!C$39-AC32,0))</f>
        <v>0</v>
      </c>
      <c r="AC32" s="210">
        <f>IF(U32&gt;=Loan!C$37,IF(U32&lt;SUM(Loan!C$35*12)+Loan!C$37,Loan!C$39/SUM(Loan!C$35*12),0),0)</f>
        <v>0</v>
      </c>
      <c r="AE32" s="211">
        <f t="shared" si="13"/>
        <v>26</v>
      </c>
      <c r="AF32" s="212">
        <f>IF(Loan!Q$37=AE32,Loan!Q$41,IF(Am!AI31&gt;0,Am!AI31,0))</f>
        <v>0</v>
      </c>
      <c r="AG32" s="212">
        <f>AF32*(Loan!Q$33/12)</f>
        <v>0</v>
      </c>
      <c r="AH32" s="209">
        <f>IF(AF32&gt;0, IF(AF32&lt;Loan!Q$43, AF32, Loan!Q$43-Am!AG32),0)</f>
        <v>0</v>
      </c>
      <c r="AI32" s="209">
        <f t="shared" si="14"/>
        <v>0</v>
      </c>
      <c r="AJ32" s="208">
        <f t="shared" si="6"/>
        <v>0</v>
      </c>
      <c r="AK32" s="209">
        <f t="shared" si="7"/>
        <v>0</v>
      </c>
      <c r="AL32" s="210">
        <f>IF(AL31&gt;0,AL31-AM32,IF(AE32=Loan!Q$37,Loan!Q$39-AM32,0))</f>
        <v>0</v>
      </c>
      <c r="AM32" s="210">
        <f>IF(AE32&gt;=Loan!Q$37,IF(AE32&lt;SUM(Loan!Q$35*12)+Loan!Q$37,Loan!Q$39/SUM(Loan!Q$35*12),0),0)</f>
        <v>0</v>
      </c>
      <c r="AO32" s="210">
        <f t="shared" si="15"/>
        <v>0</v>
      </c>
    </row>
    <row r="33" spans="1:41" ht="15" customHeight="1">
      <c r="A33" s="205">
        <f t="shared" si="16"/>
        <v>27</v>
      </c>
      <c r="B33" s="206">
        <f>IF(Loan!C$15=A33,Loan!C$19,IF(Am!E32&gt;0,Am!E32,0))</f>
        <v>12121.813441612743</v>
      </c>
      <c r="C33" s="206">
        <f>B33*(Loan!C$11/12)</f>
        <v>65.659822808735697</v>
      </c>
      <c r="D33" s="207">
        <f>IF(B33&gt;0, IF(B33&lt;Loan!C$21, B33,Loan!C$21-Am!C33),0)</f>
        <v>325.66314156583519</v>
      </c>
      <c r="E33" s="207">
        <f t="shared" si="8"/>
        <v>11796.150300046907</v>
      </c>
      <c r="F33" s="208">
        <f t="shared" si="0"/>
        <v>4048.3204888822006</v>
      </c>
      <c r="G33" s="209">
        <f t="shared" si="1"/>
        <v>7747.8298111647073</v>
      </c>
      <c r="H33" s="210">
        <f>IF(H32&gt;0,H32-I33,IF(A33=Loan!C$15,Loan!C$17-I33,0))</f>
        <v>0</v>
      </c>
      <c r="I33" s="210">
        <f>IF(A33&gt;=Loan!C$15,IF(A33&lt;SUM(Loan!C$13*12)+Loan!C$15,Loan!C$17/SUM(Loan!C$13*12),0),0)</f>
        <v>0</v>
      </c>
      <c r="K33" s="211">
        <f t="shared" si="9"/>
        <v>27</v>
      </c>
      <c r="L33" s="212">
        <f>IF(Loan!Q$15=K33,Loan!Q$19,IF(Am!O32&gt;0,Am!O32,0))</f>
        <v>0</v>
      </c>
      <c r="M33" s="212">
        <f>L33*(Loan!Q$11/12)</f>
        <v>0</v>
      </c>
      <c r="N33" s="209">
        <f>IF(L33&gt;0, IF(L33&lt;Loan!Q$21, L33, Loan!Q$21-Am!M33),0)</f>
        <v>0</v>
      </c>
      <c r="O33" s="209">
        <f t="shared" si="10"/>
        <v>0</v>
      </c>
      <c r="P33" s="208">
        <f t="shared" si="2"/>
        <v>0</v>
      </c>
      <c r="Q33" s="209">
        <f t="shared" si="3"/>
        <v>0</v>
      </c>
      <c r="R33" s="210">
        <f>IF(R32&gt;0,R32-S33,IF(K33=Loan!Q$15,Loan!Q$17-S33,0))</f>
        <v>0</v>
      </c>
      <c r="S33" s="210">
        <f>IF(K33&gt;=Loan!Q$15,IF(K33&lt;SUM(Loan!Q$13*12)+Loan!Q$15,Loan!Q$17/SUM(Loan!Q$13*12),0),0)</f>
        <v>0</v>
      </c>
      <c r="U33" s="211">
        <f t="shared" si="11"/>
        <v>27</v>
      </c>
      <c r="V33" s="212">
        <f>IF(Loan!C$37=U33,Loan!C$41,IF(Am!Y32&gt;0,Am!Y32,0))</f>
        <v>0</v>
      </c>
      <c r="W33" s="212">
        <f>V33*(Loan!C$33/12)</f>
        <v>0</v>
      </c>
      <c r="X33" s="209">
        <f>IF(V33&gt;0, IF(V33&lt;Loan!C$43, V33, Loan!C$43-Am!W33),0)</f>
        <v>0</v>
      </c>
      <c r="Y33" s="209">
        <f t="shared" si="12"/>
        <v>0</v>
      </c>
      <c r="Z33" s="208">
        <f t="shared" si="4"/>
        <v>0</v>
      </c>
      <c r="AA33" s="209">
        <f t="shared" si="5"/>
        <v>0</v>
      </c>
      <c r="AB33" s="210">
        <f>IF(AB32&gt;0,AB32-AC33,IF(U33=Loan!C$37,Loan!C$39-AC33,0))</f>
        <v>0</v>
      </c>
      <c r="AC33" s="210">
        <f>IF(U33&gt;=Loan!C$37,IF(U33&lt;SUM(Loan!C$35*12)+Loan!C$37,Loan!C$39/SUM(Loan!C$35*12),0),0)</f>
        <v>0</v>
      </c>
      <c r="AE33" s="211">
        <f t="shared" si="13"/>
        <v>27</v>
      </c>
      <c r="AF33" s="212">
        <f>IF(Loan!Q$37=AE33,Loan!Q$41,IF(Am!AI32&gt;0,Am!AI32,0))</f>
        <v>0</v>
      </c>
      <c r="AG33" s="212">
        <f>AF33*(Loan!Q$33/12)</f>
        <v>0</v>
      </c>
      <c r="AH33" s="209">
        <f>IF(AF33&gt;0, IF(AF33&lt;Loan!Q$43, AF33, Loan!Q$43-Am!AG33),0)</f>
        <v>0</v>
      </c>
      <c r="AI33" s="209">
        <f t="shared" si="14"/>
        <v>0</v>
      </c>
      <c r="AJ33" s="208">
        <f t="shared" si="6"/>
        <v>0</v>
      </c>
      <c r="AK33" s="209">
        <f t="shared" si="7"/>
        <v>0</v>
      </c>
      <c r="AL33" s="210">
        <f>IF(AL32&gt;0,AL32-AM33,IF(AE33=Loan!Q$37,Loan!Q$39-AM33,0))</f>
        <v>0</v>
      </c>
      <c r="AM33" s="210">
        <f>IF(AE33&gt;=Loan!Q$37,IF(AE33&lt;SUM(Loan!Q$35*12)+Loan!Q$37,Loan!Q$39/SUM(Loan!Q$35*12),0),0)</f>
        <v>0</v>
      </c>
      <c r="AO33" s="210">
        <f t="shared" si="15"/>
        <v>0</v>
      </c>
    </row>
    <row r="34" spans="1:41" ht="15" customHeight="1">
      <c r="A34" s="205">
        <f t="shared" si="16"/>
        <v>28</v>
      </c>
      <c r="B34" s="206">
        <f>IF(Loan!C$15=A34,Loan!C$19,IF(Am!E33&gt;0,Am!E33,0))</f>
        <v>11796.150300046907</v>
      </c>
      <c r="C34" s="206">
        <f>B34*(Loan!C$11/12)</f>
        <v>63.895814125254084</v>
      </c>
      <c r="D34" s="207">
        <f>IF(B34&gt;0, IF(B34&lt;Loan!C$21, B34,Loan!C$21-Am!C34),0)</f>
        <v>327.42715024931675</v>
      </c>
      <c r="E34" s="207">
        <f t="shared" si="8"/>
        <v>11468.72314979759</v>
      </c>
      <c r="F34" s="208">
        <f t="shared" si="0"/>
        <v>4070.248891530312</v>
      </c>
      <c r="G34" s="209">
        <f t="shared" si="1"/>
        <v>7398.4742582672779</v>
      </c>
      <c r="H34" s="210">
        <f>IF(H33&gt;0,H33-I34,IF(A34=Loan!C$15,Loan!C$17-I34,0))</f>
        <v>0</v>
      </c>
      <c r="I34" s="210">
        <f>IF(A34&gt;=Loan!C$15,IF(A34&lt;SUM(Loan!C$13*12)+Loan!C$15,Loan!C$17/SUM(Loan!C$13*12),0),0)</f>
        <v>0</v>
      </c>
      <c r="K34" s="211">
        <f t="shared" si="9"/>
        <v>28</v>
      </c>
      <c r="L34" s="212">
        <f>IF(Loan!Q$15=K34,Loan!Q$19,IF(Am!O33&gt;0,Am!O33,0))</f>
        <v>0</v>
      </c>
      <c r="M34" s="212">
        <f>L34*(Loan!Q$11/12)</f>
        <v>0</v>
      </c>
      <c r="N34" s="209">
        <f>IF(L34&gt;0, IF(L34&lt;Loan!Q$21, L34, Loan!Q$21-Am!M34),0)</f>
        <v>0</v>
      </c>
      <c r="O34" s="209">
        <f t="shared" si="10"/>
        <v>0</v>
      </c>
      <c r="P34" s="208">
        <f t="shared" si="2"/>
        <v>0</v>
      </c>
      <c r="Q34" s="209">
        <f t="shared" si="3"/>
        <v>0</v>
      </c>
      <c r="R34" s="210">
        <f>IF(R33&gt;0,R33-S34,IF(K34=Loan!Q$15,Loan!Q$17-S34,0))</f>
        <v>0</v>
      </c>
      <c r="S34" s="210">
        <f>IF(K34&gt;=Loan!Q$15,IF(K34&lt;SUM(Loan!Q$13*12)+Loan!Q$15,Loan!Q$17/SUM(Loan!Q$13*12),0),0)</f>
        <v>0</v>
      </c>
      <c r="U34" s="211">
        <f t="shared" si="11"/>
        <v>28</v>
      </c>
      <c r="V34" s="212">
        <f>IF(Loan!C$37=U34,Loan!C$41,IF(Am!Y33&gt;0,Am!Y33,0))</f>
        <v>0</v>
      </c>
      <c r="W34" s="212">
        <f>V34*(Loan!C$33/12)</f>
        <v>0</v>
      </c>
      <c r="X34" s="209">
        <f>IF(V34&gt;0, IF(V34&lt;Loan!C$43, V34, Loan!C$43-Am!W34),0)</f>
        <v>0</v>
      </c>
      <c r="Y34" s="209">
        <f t="shared" si="12"/>
        <v>0</v>
      </c>
      <c r="Z34" s="208">
        <f t="shared" si="4"/>
        <v>0</v>
      </c>
      <c r="AA34" s="209">
        <f t="shared" si="5"/>
        <v>0</v>
      </c>
      <c r="AB34" s="210">
        <f>IF(AB33&gt;0,AB33-AC34,IF(U34=Loan!C$37,Loan!C$39-AC34,0))</f>
        <v>0</v>
      </c>
      <c r="AC34" s="210">
        <f>IF(U34&gt;=Loan!C$37,IF(U34&lt;SUM(Loan!C$35*12)+Loan!C$37,Loan!C$39/SUM(Loan!C$35*12),0),0)</f>
        <v>0</v>
      </c>
      <c r="AE34" s="211">
        <f t="shared" si="13"/>
        <v>28</v>
      </c>
      <c r="AF34" s="212">
        <f>IF(Loan!Q$37=AE34,Loan!Q$41,IF(Am!AI33&gt;0,Am!AI33,0))</f>
        <v>0</v>
      </c>
      <c r="AG34" s="212">
        <f>AF34*(Loan!Q$33/12)</f>
        <v>0</v>
      </c>
      <c r="AH34" s="209">
        <f>IF(AF34&gt;0, IF(AF34&lt;Loan!Q$43, AF34, Loan!Q$43-Am!AG34),0)</f>
        <v>0</v>
      </c>
      <c r="AI34" s="209">
        <f t="shared" si="14"/>
        <v>0</v>
      </c>
      <c r="AJ34" s="208">
        <f t="shared" si="6"/>
        <v>0</v>
      </c>
      <c r="AK34" s="209">
        <f t="shared" si="7"/>
        <v>0</v>
      </c>
      <c r="AL34" s="210">
        <f>IF(AL33&gt;0,AL33-AM34,IF(AE34=Loan!Q$37,Loan!Q$39-AM34,0))</f>
        <v>0</v>
      </c>
      <c r="AM34" s="210">
        <f>IF(AE34&gt;=Loan!Q$37,IF(AE34&lt;SUM(Loan!Q$35*12)+Loan!Q$37,Loan!Q$39/SUM(Loan!Q$35*12),0),0)</f>
        <v>0</v>
      </c>
      <c r="AO34" s="210">
        <f t="shared" si="15"/>
        <v>0</v>
      </c>
    </row>
    <row r="35" spans="1:41" ht="15" customHeight="1">
      <c r="A35" s="205">
        <f t="shared" si="16"/>
        <v>29</v>
      </c>
      <c r="B35" s="206">
        <f>IF(Loan!C$15=A35,Loan!C$19,IF(Am!E34&gt;0,Am!E34,0))</f>
        <v>11468.72314979759</v>
      </c>
      <c r="C35" s="206">
        <f>B35*(Loan!C$11/12)</f>
        <v>62.122250394736945</v>
      </c>
      <c r="D35" s="207">
        <f>IF(B35&gt;0, IF(B35&lt;Loan!C$21, B35,Loan!C$21-Am!C35),0)</f>
        <v>329.20071397983389</v>
      </c>
      <c r="E35" s="207">
        <f t="shared" si="8"/>
        <v>11139.522435817757</v>
      </c>
      <c r="F35" s="208">
        <f t="shared" si="0"/>
        <v>4092.2960730261016</v>
      </c>
      <c r="G35" s="209">
        <f t="shared" si="1"/>
        <v>7047.2263627916545</v>
      </c>
      <c r="H35" s="210">
        <f>IF(H34&gt;0,H34-I35,IF(A35=Loan!C$15,Loan!C$17-I35,0))</f>
        <v>0</v>
      </c>
      <c r="I35" s="210">
        <f>IF(A35&gt;=Loan!C$15,IF(A35&lt;SUM(Loan!C$13*12)+Loan!C$15,Loan!C$17/SUM(Loan!C$13*12),0),0)</f>
        <v>0</v>
      </c>
      <c r="K35" s="211">
        <f t="shared" si="9"/>
        <v>29</v>
      </c>
      <c r="L35" s="212">
        <f>IF(Loan!Q$15=K35,Loan!Q$19,IF(Am!O34&gt;0,Am!O34,0))</f>
        <v>0</v>
      </c>
      <c r="M35" s="212">
        <f>L35*(Loan!Q$11/12)</f>
        <v>0</v>
      </c>
      <c r="N35" s="209">
        <f>IF(L35&gt;0, IF(L35&lt;Loan!Q$21, L35, Loan!Q$21-Am!M35),0)</f>
        <v>0</v>
      </c>
      <c r="O35" s="209">
        <f t="shared" si="10"/>
        <v>0</v>
      </c>
      <c r="P35" s="208">
        <f t="shared" si="2"/>
        <v>0</v>
      </c>
      <c r="Q35" s="209">
        <f t="shared" si="3"/>
        <v>0</v>
      </c>
      <c r="R35" s="210">
        <f>IF(R34&gt;0,R34-S35,IF(K35=Loan!Q$15,Loan!Q$17-S35,0))</f>
        <v>0</v>
      </c>
      <c r="S35" s="210">
        <f>IF(K35&gt;=Loan!Q$15,IF(K35&lt;SUM(Loan!Q$13*12)+Loan!Q$15,Loan!Q$17/SUM(Loan!Q$13*12),0),0)</f>
        <v>0</v>
      </c>
      <c r="U35" s="211">
        <f t="shared" si="11"/>
        <v>29</v>
      </c>
      <c r="V35" s="212">
        <f>IF(Loan!C$37=U35,Loan!C$41,IF(Am!Y34&gt;0,Am!Y34,0))</f>
        <v>0</v>
      </c>
      <c r="W35" s="212">
        <f>V35*(Loan!C$33/12)</f>
        <v>0</v>
      </c>
      <c r="X35" s="209">
        <f>IF(V35&gt;0, IF(V35&lt;Loan!C$43, V35, Loan!C$43-Am!W35),0)</f>
        <v>0</v>
      </c>
      <c r="Y35" s="209">
        <f t="shared" si="12"/>
        <v>0</v>
      </c>
      <c r="Z35" s="208">
        <f t="shared" si="4"/>
        <v>0</v>
      </c>
      <c r="AA35" s="209">
        <f t="shared" si="5"/>
        <v>0</v>
      </c>
      <c r="AB35" s="210">
        <f>IF(AB34&gt;0,AB34-AC35,IF(U35=Loan!C$37,Loan!C$39-AC35,0))</f>
        <v>0</v>
      </c>
      <c r="AC35" s="210">
        <f>IF(U35&gt;=Loan!C$37,IF(U35&lt;SUM(Loan!C$35*12)+Loan!C$37,Loan!C$39/SUM(Loan!C$35*12),0),0)</f>
        <v>0</v>
      </c>
      <c r="AE35" s="211">
        <f t="shared" si="13"/>
        <v>29</v>
      </c>
      <c r="AF35" s="212">
        <f>IF(Loan!Q$37=AE35,Loan!Q$41,IF(Am!AI34&gt;0,Am!AI34,0))</f>
        <v>0</v>
      </c>
      <c r="AG35" s="212">
        <f>AF35*(Loan!Q$33/12)</f>
        <v>0</v>
      </c>
      <c r="AH35" s="209">
        <f>IF(AF35&gt;0, IF(AF35&lt;Loan!Q$43, AF35, Loan!Q$43-Am!AG35),0)</f>
        <v>0</v>
      </c>
      <c r="AI35" s="209">
        <f t="shared" si="14"/>
        <v>0</v>
      </c>
      <c r="AJ35" s="208">
        <f t="shared" si="6"/>
        <v>0</v>
      </c>
      <c r="AK35" s="209">
        <f t="shared" si="7"/>
        <v>0</v>
      </c>
      <c r="AL35" s="210">
        <f>IF(AL34&gt;0,AL34-AM35,IF(AE35=Loan!Q$37,Loan!Q$39-AM35,0))</f>
        <v>0</v>
      </c>
      <c r="AM35" s="210">
        <f>IF(AE35&gt;=Loan!Q$37,IF(AE35&lt;SUM(Loan!Q$35*12)+Loan!Q$37,Loan!Q$39/SUM(Loan!Q$35*12),0),0)</f>
        <v>0</v>
      </c>
      <c r="AO35" s="210">
        <f t="shared" si="15"/>
        <v>0</v>
      </c>
    </row>
    <row r="36" spans="1:41" ht="15" customHeight="1">
      <c r="A36" s="205">
        <f t="shared" si="16"/>
        <v>30</v>
      </c>
      <c r="B36" s="206">
        <f>IF(Loan!C$15=A36,Loan!C$19,IF(Am!E35&gt;0,Am!E35,0))</f>
        <v>11139.522435817757</v>
      </c>
      <c r="C36" s="206">
        <f>B36*(Loan!C$11/12)</f>
        <v>60.339079860679519</v>
      </c>
      <c r="D36" s="207">
        <f>IF(B36&gt;0, IF(B36&lt;Loan!C$21, B36,Loan!C$21-Am!C36),0)</f>
        <v>330.98388451389133</v>
      </c>
      <c r="E36" s="207">
        <f t="shared" si="8"/>
        <v>10808.538551303865</v>
      </c>
      <c r="F36" s="208">
        <f t="shared" si="0"/>
        <v>4114.4626767549935</v>
      </c>
      <c r="G36" s="209">
        <f t="shared" si="1"/>
        <v>6694.075874548872</v>
      </c>
      <c r="H36" s="210">
        <f>IF(H35&gt;0,H35-I36,IF(A36=Loan!C$15,Loan!C$17-I36,0))</f>
        <v>0</v>
      </c>
      <c r="I36" s="210">
        <f>IF(A36&gt;=Loan!C$15,IF(A36&lt;SUM(Loan!C$13*12)+Loan!C$15,Loan!C$17/SUM(Loan!C$13*12),0),0)</f>
        <v>0</v>
      </c>
      <c r="K36" s="211">
        <f t="shared" si="9"/>
        <v>30</v>
      </c>
      <c r="L36" s="212">
        <f>IF(Loan!Q$15=K36,Loan!Q$19,IF(Am!O35&gt;0,Am!O35,0))</f>
        <v>0</v>
      </c>
      <c r="M36" s="212">
        <f>L36*(Loan!Q$11/12)</f>
        <v>0</v>
      </c>
      <c r="N36" s="209">
        <f>IF(L36&gt;0, IF(L36&lt;Loan!Q$21, L36, Loan!Q$21-Am!M36),0)</f>
        <v>0</v>
      </c>
      <c r="O36" s="209">
        <f t="shared" si="10"/>
        <v>0</v>
      </c>
      <c r="P36" s="208">
        <f t="shared" si="2"/>
        <v>0</v>
      </c>
      <c r="Q36" s="209">
        <f t="shared" si="3"/>
        <v>0</v>
      </c>
      <c r="R36" s="210">
        <f>IF(R35&gt;0,R35-S36,IF(K36=Loan!Q$15,Loan!Q$17-S36,0))</f>
        <v>0</v>
      </c>
      <c r="S36" s="210">
        <f>IF(K36&gt;=Loan!Q$15,IF(K36&lt;SUM(Loan!Q$13*12)+Loan!Q$15,Loan!Q$17/SUM(Loan!Q$13*12),0),0)</f>
        <v>0</v>
      </c>
      <c r="U36" s="211">
        <f t="shared" si="11"/>
        <v>30</v>
      </c>
      <c r="V36" s="212">
        <f>IF(Loan!C$37=U36,Loan!C$41,IF(Am!Y35&gt;0,Am!Y35,0))</f>
        <v>0</v>
      </c>
      <c r="W36" s="212">
        <f>V36*(Loan!C$33/12)</f>
        <v>0</v>
      </c>
      <c r="X36" s="209">
        <f>IF(V36&gt;0, IF(V36&lt;Loan!C$43, V36, Loan!C$43-Am!W36),0)</f>
        <v>0</v>
      </c>
      <c r="Y36" s="209">
        <f t="shared" si="12"/>
        <v>0</v>
      </c>
      <c r="Z36" s="208">
        <f t="shared" si="4"/>
        <v>0</v>
      </c>
      <c r="AA36" s="209">
        <f t="shared" si="5"/>
        <v>0</v>
      </c>
      <c r="AB36" s="210">
        <f>IF(AB35&gt;0,AB35-AC36,IF(U36=Loan!C$37,Loan!C$39-AC36,0))</f>
        <v>0</v>
      </c>
      <c r="AC36" s="210">
        <f>IF(U36&gt;=Loan!C$37,IF(U36&lt;SUM(Loan!C$35*12)+Loan!C$37,Loan!C$39/SUM(Loan!C$35*12),0),0)</f>
        <v>0</v>
      </c>
      <c r="AE36" s="211">
        <f t="shared" si="13"/>
        <v>30</v>
      </c>
      <c r="AF36" s="212">
        <f>IF(Loan!Q$37=AE36,Loan!Q$41,IF(Am!AI35&gt;0,Am!AI35,0))</f>
        <v>0</v>
      </c>
      <c r="AG36" s="212">
        <f>AF36*(Loan!Q$33/12)</f>
        <v>0</v>
      </c>
      <c r="AH36" s="209">
        <f>IF(AF36&gt;0, IF(AF36&lt;Loan!Q$43, AF36, Loan!Q$43-Am!AG36),0)</f>
        <v>0</v>
      </c>
      <c r="AI36" s="209">
        <f t="shared" si="14"/>
        <v>0</v>
      </c>
      <c r="AJ36" s="208">
        <f t="shared" si="6"/>
        <v>0</v>
      </c>
      <c r="AK36" s="209">
        <f t="shared" si="7"/>
        <v>0</v>
      </c>
      <c r="AL36" s="210">
        <f>IF(AL35&gt;0,AL35-AM36,IF(AE36=Loan!Q$37,Loan!Q$39-AM36,0))</f>
        <v>0</v>
      </c>
      <c r="AM36" s="210">
        <f>IF(AE36&gt;=Loan!Q$37,IF(AE36&lt;SUM(Loan!Q$35*12)+Loan!Q$37,Loan!Q$39/SUM(Loan!Q$35*12),0),0)</f>
        <v>0</v>
      </c>
      <c r="AO36" s="210">
        <f t="shared" si="15"/>
        <v>0</v>
      </c>
    </row>
    <row r="37" spans="1:41" ht="15" customHeight="1">
      <c r="A37" s="205">
        <f t="shared" si="16"/>
        <v>31</v>
      </c>
      <c r="B37" s="206">
        <f>IF(Loan!C$15=A37,Loan!C$19,IF(Am!E36&gt;0,Am!E36,0))</f>
        <v>10808.538551303865</v>
      </c>
      <c r="C37" s="206">
        <f>B37*(Loan!C$11/12)</f>
        <v>58.546250486229276</v>
      </c>
      <c r="D37" s="207">
        <f>IF(B37&gt;0, IF(B37&lt;Loan!C$21, B37,Loan!C$21-Am!C37),0)</f>
        <v>332.77671388834159</v>
      </c>
      <c r="E37" s="207">
        <f t="shared" si="8"/>
        <v>10475.761837415524</v>
      </c>
      <c r="F37" s="208">
        <f t="shared" si="0"/>
        <v>4136.749349587416</v>
      </c>
      <c r="G37" s="209">
        <f t="shared" si="1"/>
        <v>6339.0124878281085</v>
      </c>
      <c r="H37" s="210">
        <f>IF(H36&gt;0,H36-I37,IF(A37=Loan!C$15,Loan!C$17-I37,0))</f>
        <v>0</v>
      </c>
      <c r="I37" s="210">
        <f>IF(A37&gt;=Loan!C$15,IF(A37&lt;SUM(Loan!C$13*12)+Loan!C$15,Loan!C$17/SUM(Loan!C$13*12),0),0)</f>
        <v>0</v>
      </c>
      <c r="K37" s="211">
        <f t="shared" si="9"/>
        <v>31</v>
      </c>
      <c r="L37" s="212">
        <f>IF(Loan!Q$15=K37,Loan!Q$19,IF(Am!O36&gt;0,Am!O36,0))</f>
        <v>0</v>
      </c>
      <c r="M37" s="212">
        <f>L37*(Loan!Q$11/12)</f>
        <v>0</v>
      </c>
      <c r="N37" s="209">
        <f>IF(L37&gt;0, IF(L37&lt;Loan!Q$21, L37, Loan!Q$21-Am!M37),0)</f>
        <v>0</v>
      </c>
      <c r="O37" s="209">
        <f t="shared" si="10"/>
        <v>0</v>
      </c>
      <c r="P37" s="208">
        <f t="shared" si="2"/>
        <v>0</v>
      </c>
      <c r="Q37" s="209">
        <f t="shared" si="3"/>
        <v>0</v>
      </c>
      <c r="R37" s="210">
        <f>IF(R36&gt;0,R36-S37,IF(K37=Loan!Q$15,Loan!Q$17-S37,0))</f>
        <v>0</v>
      </c>
      <c r="S37" s="210">
        <f>IF(K37&gt;=Loan!Q$15,IF(K37&lt;SUM(Loan!Q$13*12)+Loan!Q$15,Loan!Q$17/SUM(Loan!Q$13*12),0),0)</f>
        <v>0</v>
      </c>
      <c r="U37" s="211">
        <f t="shared" si="11"/>
        <v>31</v>
      </c>
      <c r="V37" s="212">
        <f>IF(Loan!C$37=U37,Loan!C$41,IF(Am!Y36&gt;0,Am!Y36,0))</f>
        <v>0</v>
      </c>
      <c r="W37" s="212">
        <f>V37*(Loan!C$33/12)</f>
        <v>0</v>
      </c>
      <c r="X37" s="209">
        <f>IF(V37&gt;0, IF(V37&lt;Loan!C$43, V37, Loan!C$43-Am!W37),0)</f>
        <v>0</v>
      </c>
      <c r="Y37" s="209">
        <f t="shared" si="12"/>
        <v>0</v>
      </c>
      <c r="Z37" s="208">
        <f t="shared" si="4"/>
        <v>0</v>
      </c>
      <c r="AA37" s="209">
        <f t="shared" si="5"/>
        <v>0</v>
      </c>
      <c r="AB37" s="210">
        <f>IF(AB36&gt;0,AB36-AC37,IF(U37=Loan!C$37,Loan!C$39-AC37,0))</f>
        <v>0</v>
      </c>
      <c r="AC37" s="210">
        <f>IF(U37&gt;=Loan!C$37,IF(U37&lt;SUM(Loan!C$35*12)+Loan!C$37,Loan!C$39/SUM(Loan!C$35*12),0),0)</f>
        <v>0</v>
      </c>
      <c r="AE37" s="211">
        <f t="shared" si="13"/>
        <v>31</v>
      </c>
      <c r="AF37" s="212">
        <f>IF(Loan!Q$37=AE37,Loan!Q$41,IF(Am!AI36&gt;0,Am!AI36,0))</f>
        <v>0</v>
      </c>
      <c r="AG37" s="212">
        <f>AF37*(Loan!Q$33/12)</f>
        <v>0</v>
      </c>
      <c r="AH37" s="209">
        <f>IF(AF37&gt;0, IF(AF37&lt;Loan!Q$43, AF37, Loan!Q$43-Am!AG37),0)</f>
        <v>0</v>
      </c>
      <c r="AI37" s="209">
        <f t="shared" si="14"/>
        <v>0</v>
      </c>
      <c r="AJ37" s="208">
        <f t="shared" si="6"/>
        <v>0</v>
      </c>
      <c r="AK37" s="209">
        <f t="shared" si="7"/>
        <v>0</v>
      </c>
      <c r="AL37" s="210">
        <f>IF(AL36&gt;0,AL36-AM37,IF(AE37=Loan!Q$37,Loan!Q$39-AM37,0))</f>
        <v>0</v>
      </c>
      <c r="AM37" s="210">
        <f>IF(AE37&gt;=Loan!Q$37,IF(AE37&lt;SUM(Loan!Q$35*12)+Loan!Q$37,Loan!Q$39/SUM(Loan!Q$35*12),0),0)</f>
        <v>0</v>
      </c>
      <c r="AO37" s="210">
        <f t="shared" si="15"/>
        <v>0</v>
      </c>
    </row>
    <row r="38" spans="1:41" ht="15" customHeight="1">
      <c r="A38" s="205">
        <f t="shared" si="16"/>
        <v>32</v>
      </c>
      <c r="B38" s="206">
        <f>IF(Loan!C$15=A38,Loan!C$19,IF(Am!E37&gt;0,Am!E37,0))</f>
        <v>10475.761837415524</v>
      </c>
      <c r="C38" s="206">
        <f>B38*(Loan!C$11/12)</f>
        <v>56.743709952667423</v>
      </c>
      <c r="D38" s="207">
        <f>IF(B38&gt;0, IF(B38&lt;Loan!C$21, B38,Loan!C$21-Am!C38),0)</f>
        <v>334.57925442190344</v>
      </c>
      <c r="E38" s="207">
        <f t="shared" si="8"/>
        <v>10141.182582993621</v>
      </c>
      <c r="F38" s="208">
        <f t="shared" si="0"/>
        <v>4159.1567418976811</v>
      </c>
      <c r="G38" s="209">
        <f t="shared" si="1"/>
        <v>5982.0258410959395</v>
      </c>
      <c r="H38" s="210">
        <f>IF(H37&gt;0,H37-I38,IF(A38=Loan!C$15,Loan!C$17-I38,0))</f>
        <v>0</v>
      </c>
      <c r="I38" s="210">
        <f>IF(A38&gt;=Loan!C$15,IF(A38&lt;SUM(Loan!C$13*12)+Loan!C$15,Loan!C$17/SUM(Loan!C$13*12),0),0)</f>
        <v>0</v>
      </c>
      <c r="K38" s="211">
        <f t="shared" si="9"/>
        <v>32</v>
      </c>
      <c r="L38" s="212">
        <f>IF(Loan!Q$15=K38,Loan!Q$19,IF(Am!O37&gt;0,Am!O37,0))</f>
        <v>0</v>
      </c>
      <c r="M38" s="212">
        <f>L38*(Loan!Q$11/12)</f>
        <v>0</v>
      </c>
      <c r="N38" s="209">
        <f>IF(L38&gt;0, IF(L38&lt;Loan!Q$21, L38, Loan!Q$21-Am!M38),0)</f>
        <v>0</v>
      </c>
      <c r="O38" s="209">
        <f t="shared" si="10"/>
        <v>0</v>
      </c>
      <c r="P38" s="208">
        <f t="shared" si="2"/>
        <v>0</v>
      </c>
      <c r="Q38" s="209">
        <f t="shared" si="3"/>
        <v>0</v>
      </c>
      <c r="R38" s="210">
        <f>IF(R37&gt;0,R37-S38,IF(K38=Loan!Q$15,Loan!Q$17-S38,0))</f>
        <v>0</v>
      </c>
      <c r="S38" s="210">
        <f>IF(K38&gt;=Loan!Q$15,IF(K38&lt;SUM(Loan!Q$13*12)+Loan!Q$15,Loan!Q$17/SUM(Loan!Q$13*12),0),0)</f>
        <v>0</v>
      </c>
      <c r="U38" s="211">
        <f t="shared" si="11"/>
        <v>32</v>
      </c>
      <c r="V38" s="212">
        <f>IF(Loan!C$37=U38,Loan!C$41,IF(Am!Y37&gt;0,Am!Y37,0))</f>
        <v>0</v>
      </c>
      <c r="W38" s="212">
        <f>V38*(Loan!C$33/12)</f>
        <v>0</v>
      </c>
      <c r="X38" s="209">
        <f>IF(V38&gt;0, IF(V38&lt;Loan!C$43, V38, Loan!C$43-Am!W38),0)</f>
        <v>0</v>
      </c>
      <c r="Y38" s="209">
        <f t="shared" si="12"/>
        <v>0</v>
      </c>
      <c r="Z38" s="208">
        <f t="shared" si="4"/>
        <v>0</v>
      </c>
      <c r="AA38" s="209">
        <f t="shared" si="5"/>
        <v>0</v>
      </c>
      <c r="AB38" s="210">
        <f>IF(AB37&gt;0,AB37-AC38,IF(U38=Loan!C$37,Loan!C$39-AC38,0))</f>
        <v>0</v>
      </c>
      <c r="AC38" s="210">
        <f>IF(U38&gt;=Loan!C$37,IF(U38&lt;SUM(Loan!C$35*12)+Loan!C$37,Loan!C$39/SUM(Loan!C$35*12),0),0)</f>
        <v>0</v>
      </c>
      <c r="AE38" s="211">
        <f t="shared" si="13"/>
        <v>32</v>
      </c>
      <c r="AF38" s="212">
        <f>IF(Loan!Q$37=AE38,Loan!Q$41,IF(Am!AI37&gt;0,Am!AI37,0))</f>
        <v>0</v>
      </c>
      <c r="AG38" s="212">
        <f>AF38*(Loan!Q$33/12)</f>
        <v>0</v>
      </c>
      <c r="AH38" s="209">
        <f>IF(AF38&gt;0, IF(AF38&lt;Loan!Q$43, AF38, Loan!Q$43-Am!AG38),0)</f>
        <v>0</v>
      </c>
      <c r="AI38" s="209">
        <f t="shared" si="14"/>
        <v>0</v>
      </c>
      <c r="AJ38" s="208">
        <f t="shared" si="6"/>
        <v>0</v>
      </c>
      <c r="AK38" s="209">
        <f t="shared" si="7"/>
        <v>0</v>
      </c>
      <c r="AL38" s="210">
        <f>IF(AL37&gt;0,AL37-AM38,IF(AE38=Loan!Q$37,Loan!Q$39-AM38,0))</f>
        <v>0</v>
      </c>
      <c r="AM38" s="210">
        <f>IF(AE38&gt;=Loan!Q$37,IF(AE38&lt;SUM(Loan!Q$35*12)+Loan!Q$37,Loan!Q$39/SUM(Loan!Q$35*12),0),0)</f>
        <v>0</v>
      </c>
      <c r="AO38" s="210">
        <f t="shared" si="15"/>
        <v>0</v>
      </c>
    </row>
    <row r="39" spans="1:41" ht="15" customHeight="1">
      <c r="A39" s="205">
        <f t="shared" si="16"/>
        <v>33</v>
      </c>
      <c r="B39" s="206">
        <f>IF(Loan!C$15=A39,Loan!C$19,IF(Am!E38&gt;0,Am!E38,0))</f>
        <v>10141.182582993621</v>
      </c>
      <c r="C39" s="206">
        <f>B39*(Loan!C$11/12)</f>
        <v>54.931405657882117</v>
      </c>
      <c r="D39" s="207">
        <f>IF(B39&gt;0, IF(B39&lt;Loan!C$21, B39,Loan!C$21-Am!C39),0)</f>
        <v>336.39155871668873</v>
      </c>
      <c r="E39" s="207">
        <f t="shared" si="8"/>
        <v>9804.7910242769321</v>
      </c>
      <c r="F39" s="208">
        <f t="shared" si="0"/>
        <v>4181.6855075829599</v>
      </c>
      <c r="G39" s="209">
        <f t="shared" si="1"/>
        <v>5623.1055166939723</v>
      </c>
      <c r="H39" s="210">
        <f>IF(H38&gt;0,H38-I39,IF(A39=Loan!C$15,Loan!C$17-I39,0))</f>
        <v>0</v>
      </c>
      <c r="I39" s="210">
        <f>IF(A39&gt;=Loan!C$15,IF(A39&lt;SUM(Loan!C$13*12)+Loan!C$15,Loan!C$17/SUM(Loan!C$13*12),0),0)</f>
        <v>0</v>
      </c>
      <c r="K39" s="211">
        <f t="shared" si="9"/>
        <v>33</v>
      </c>
      <c r="L39" s="212">
        <f>IF(Loan!Q$15=K39,Loan!Q$19,IF(Am!O38&gt;0,Am!O38,0))</f>
        <v>0</v>
      </c>
      <c r="M39" s="212">
        <f>L39*(Loan!Q$11/12)</f>
        <v>0</v>
      </c>
      <c r="N39" s="209">
        <f>IF(L39&gt;0, IF(L39&lt;Loan!Q$21, L39, Loan!Q$21-Am!M39),0)</f>
        <v>0</v>
      </c>
      <c r="O39" s="209">
        <f t="shared" si="10"/>
        <v>0</v>
      </c>
      <c r="P39" s="208">
        <f t="shared" si="2"/>
        <v>0</v>
      </c>
      <c r="Q39" s="209">
        <f t="shared" si="3"/>
        <v>0</v>
      </c>
      <c r="R39" s="210">
        <f>IF(R38&gt;0,R38-S39,IF(K39=Loan!Q$15,Loan!Q$17-S39,0))</f>
        <v>0</v>
      </c>
      <c r="S39" s="210">
        <f>IF(K39&gt;=Loan!Q$15,IF(K39&lt;SUM(Loan!Q$13*12)+Loan!Q$15,Loan!Q$17/SUM(Loan!Q$13*12),0),0)</f>
        <v>0</v>
      </c>
      <c r="U39" s="211">
        <f t="shared" si="11"/>
        <v>33</v>
      </c>
      <c r="V39" s="212">
        <f>IF(Loan!C$37=U39,Loan!C$41,IF(Am!Y38&gt;0,Am!Y38,0))</f>
        <v>0</v>
      </c>
      <c r="W39" s="212">
        <f>V39*(Loan!C$33/12)</f>
        <v>0</v>
      </c>
      <c r="X39" s="209">
        <f>IF(V39&gt;0, IF(V39&lt;Loan!C$43, V39, Loan!C$43-Am!W39),0)</f>
        <v>0</v>
      </c>
      <c r="Y39" s="209">
        <f t="shared" si="12"/>
        <v>0</v>
      </c>
      <c r="Z39" s="208">
        <f t="shared" si="4"/>
        <v>0</v>
      </c>
      <c r="AA39" s="209">
        <f t="shared" si="5"/>
        <v>0</v>
      </c>
      <c r="AB39" s="210">
        <f>IF(AB38&gt;0,AB38-AC39,IF(U39=Loan!C$37,Loan!C$39-AC39,0))</f>
        <v>0</v>
      </c>
      <c r="AC39" s="210">
        <f>IF(U39&gt;=Loan!C$37,IF(U39&lt;SUM(Loan!C$35*12)+Loan!C$37,Loan!C$39/SUM(Loan!C$35*12),0),0)</f>
        <v>0</v>
      </c>
      <c r="AE39" s="211">
        <f t="shared" si="13"/>
        <v>33</v>
      </c>
      <c r="AF39" s="212">
        <f>IF(Loan!Q$37=AE39,Loan!Q$41,IF(Am!AI38&gt;0,Am!AI38,0))</f>
        <v>0</v>
      </c>
      <c r="AG39" s="212">
        <f>AF39*(Loan!Q$33/12)</f>
        <v>0</v>
      </c>
      <c r="AH39" s="209">
        <f>IF(AF39&gt;0, IF(AF39&lt;Loan!Q$43, AF39, Loan!Q$43-Am!AG39),0)</f>
        <v>0</v>
      </c>
      <c r="AI39" s="209">
        <f t="shared" si="14"/>
        <v>0</v>
      </c>
      <c r="AJ39" s="208">
        <f t="shared" si="6"/>
        <v>0</v>
      </c>
      <c r="AK39" s="209">
        <f t="shared" si="7"/>
        <v>0</v>
      </c>
      <c r="AL39" s="210">
        <f>IF(AL38&gt;0,AL38-AM39,IF(AE39=Loan!Q$37,Loan!Q$39-AM39,0))</f>
        <v>0</v>
      </c>
      <c r="AM39" s="210">
        <f>IF(AE39&gt;=Loan!Q$37,IF(AE39&lt;SUM(Loan!Q$35*12)+Loan!Q$37,Loan!Q$39/SUM(Loan!Q$35*12),0),0)</f>
        <v>0</v>
      </c>
      <c r="AO39" s="210">
        <f t="shared" si="15"/>
        <v>0</v>
      </c>
    </row>
    <row r="40" spans="1:41" ht="15" customHeight="1">
      <c r="A40" s="205">
        <f t="shared" si="16"/>
        <v>34</v>
      </c>
      <c r="B40" s="206">
        <f>IF(Loan!C$15=A40,Loan!C$19,IF(Am!E39&gt;0,Am!E39,0))</f>
        <v>9804.7910242769321</v>
      </c>
      <c r="C40" s="206">
        <f>B40*(Loan!C$11/12)</f>
        <v>53.109284714833386</v>
      </c>
      <c r="D40" s="207">
        <f>IF(B40&gt;0, IF(B40&lt;Loan!C$21, B40,Loan!C$21-Am!C40),0)</f>
        <v>338.21367965973747</v>
      </c>
      <c r="E40" s="207">
        <f t="shared" si="8"/>
        <v>9466.5773446171952</v>
      </c>
      <c r="F40" s="208">
        <f t="shared" si="0"/>
        <v>4204.3363040823679</v>
      </c>
      <c r="G40" s="209">
        <f t="shared" si="1"/>
        <v>5262.2410405348273</v>
      </c>
      <c r="H40" s="210">
        <f>IF(H39&gt;0,H39-I40,IF(A40=Loan!C$15,Loan!C$17-I40,0))</f>
        <v>0</v>
      </c>
      <c r="I40" s="210">
        <f>IF(A40&gt;=Loan!C$15,IF(A40&lt;SUM(Loan!C$13*12)+Loan!C$15,Loan!C$17/SUM(Loan!C$13*12),0),0)</f>
        <v>0</v>
      </c>
      <c r="K40" s="211">
        <f t="shared" si="9"/>
        <v>34</v>
      </c>
      <c r="L40" s="212">
        <f>IF(Loan!Q$15=K40,Loan!Q$19,IF(Am!O39&gt;0,Am!O39,0))</f>
        <v>0</v>
      </c>
      <c r="M40" s="212">
        <f>L40*(Loan!Q$11/12)</f>
        <v>0</v>
      </c>
      <c r="N40" s="209">
        <f>IF(L40&gt;0, IF(L40&lt;Loan!Q$21, L40, Loan!Q$21-Am!M40),0)</f>
        <v>0</v>
      </c>
      <c r="O40" s="209">
        <f t="shared" si="10"/>
        <v>0</v>
      </c>
      <c r="P40" s="208">
        <f t="shared" si="2"/>
        <v>0</v>
      </c>
      <c r="Q40" s="209">
        <f t="shared" si="3"/>
        <v>0</v>
      </c>
      <c r="R40" s="210">
        <f>IF(R39&gt;0,R39-S40,IF(K40=Loan!Q$15,Loan!Q$17-S40,0))</f>
        <v>0</v>
      </c>
      <c r="S40" s="210">
        <f>IF(K40&gt;=Loan!Q$15,IF(K40&lt;SUM(Loan!Q$13*12)+Loan!Q$15,Loan!Q$17/SUM(Loan!Q$13*12),0),0)</f>
        <v>0</v>
      </c>
      <c r="U40" s="211">
        <f t="shared" si="11"/>
        <v>34</v>
      </c>
      <c r="V40" s="212">
        <f>IF(Loan!C$37=U40,Loan!C$41,IF(Am!Y39&gt;0,Am!Y39,0))</f>
        <v>0</v>
      </c>
      <c r="W40" s="212">
        <f>V40*(Loan!C$33/12)</f>
        <v>0</v>
      </c>
      <c r="X40" s="209">
        <f>IF(V40&gt;0, IF(V40&lt;Loan!C$43, V40, Loan!C$43-Am!W40),0)</f>
        <v>0</v>
      </c>
      <c r="Y40" s="209">
        <f t="shared" si="12"/>
        <v>0</v>
      </c>
      <c r="Z40" s="208">
        <f t="shared" si="4"/>
        <v>0</v>
      </c>
      <c r="AA40" s="209">
        <f t="shared" si="5"/>
        <v>0</v>
      </c>
      <c r="AB40" s="210">
        <f>IF(AB39&gt;0,AB39-AC40,IF(U40=Loan!C$37,Loan!C$39-AC40,0))</f>
        <v>0</v>
      </c>
      <c r="AC40" s="210">
        <f>IF(U40&gt;=Loan!C$37,IF(U40&lt;SUM(Loan!C$35*12)+Loan!C$37,Loan!C$39/SUM(Loan!C$35*12),0),0)</f>
        <v>0</v>
      </c>
      <c r="AE40" s="211">
        <f t="shared" si="13"/>
        <v>34</v>
      </c>
      <c r="AF40" s="212">
        <f>IF(Loan!Q$37=AE40,Loan!Q$41,IF(Am!AI39&gt;0,Am!AI39,0))</f>
        <v>0</v>
      </c>
      <c r="AG40" s="212">
        <f>AF40*(Loan!Q$33/12)</f>
        <v>0</v>
      </c>
      <c r="AH40" s="209">
        <f>IF(AF40&gt;0, IF(AF40&lt;Loan!Q$43, AF40, Loan!Q$43-Am!AG40),0)</f>
        <v>0</v>
      </c>
      <c r="AI40" s="209">
        <f t="shared" si="14"/>
        <v>0</v>
      </c>
      <c r="AJ40" s="208">
        <f t="shared" si="6"/>
        <v>0</v>
      </c>
      <c r="AK40" s="209">
        <f t="shared" si="7"/>
        <v>0</v>
      </c>
      <c r="AL40" s="210">
        <f>IF(AL39&gt;0,AL39-AM40,IF(AE40=Loan!Q$37,Loan!Q$39-AM40,0))</f>
        <v>0</v>
      </c>
      <c r="AM40" s="210">
        <f>IF(AE40&gt;=Loan!Q$37,IF(AE40&lt;SUM(Loan!Q$35*12)+Loan!Q$37,Loan!Q$39/SUM(Loan!Q$35*12),0),0)</f>
        <v>0</v>
      </c>
      <c r="AO40" s="210">
        <f t="shared" si="15"/>
        <v>0</v>
      </c>
    </row>
    <row r="41" spans="1:41" ht="15" customHeight="1">
      <c r="A41" s="205">
        <f t="shared" si="16"/>
        <v>35</v>
      </c>
      <c r="B41" s="206">
        <f>IF(Loan!C$15=A41,Loan!C$19,IF(Am!E40&gt;0,Am!E40,0))</f>
        <v>9466.5773446171952</v>
      </c>
      <c r="C41" s="206">
        <f>B41*(Loan!C$11/12)</f>
        <v>51.277293950009806</v>
      </c>
      <c r="D41" s="207">
        <f>IF(B41&gt;0, IF(B41&lt;Loan!C$21, B41,Loan!C$21-Am!C41),0)</f>
        <v>340.04567042456108</v>
      </c>
      <c r="E41" s="207">
        <f t="shared" si="8"/>
        <v>9126.5316741926345</v>
      </c>
      <c r="F41" s="208">
        <f t="shared" si="0"/>
        <v>4227.109792396147</v>
      </c>
      <c r="G41" s="209">
        <f t="shared" si="1"/>
        <v>4899.4218817964875</v>
      </c>
      <c r="H41" s="210">
        <f>IF(H40&gt;0,H40-I41,IF(A41=Loan!C$15,Loan!C$17-I41,0))</f>
        <v>0</v>
      </c>
      <c r="I41" s="210">
        <f>IF(A41&gt;=Loan!C$15,IF(A41&lt;SUM(Loan!C$13*12)+Loan!C$15,Loan!C$17/SUM(Loan!C$13*12),0),0)</f>
        <v>0</v>
      </c>
      <c r="K41" s="211">
        <f t="shared" si="9"/>
        <v>35</v>
      </c>
      <c r="L41" s="212">
        <f>IF(Loan!Q$15=K41,Loan!Q$19,IF(Am!O40&gt;0,Am!O40,0))</f>
        <v>0</v>
      </c>
      <c r="M41" s="212">
        <f>L41*(Loan!Q$11/12)</f>
        <v>0</v>
      </c>
      <c r="N41" s="209">
        <f>IF(L41&gt;0, IF(L41&lt;Loan!Q$21, L41, Loan!Q$21-Am!M41),0)</f>
        <v>0</v>
      </c>
      <c r="O41" s="209">
        <f t="shared" si="10"/>
        <v>0</v>
      </c>
      <c r="P41" s="208">
        <f t="shared" si="2"/>
        <v>0</v>
      </c>
      <c r="Q41" s="209">
        <f t="shared" si="3"/>
        <v>0</v>
      </c>
      <c r="R41" s="210">
        <f>IF(R40&gt;0,R40-S41,IF(K41=Loan!Q$15,Loan!Q$17-S41,0))</f>
        <v>0</v>
      </c>
      <c r="S41" s="210">
        <f>IF(K41&gt;=Loan!Q$15,IF(K41&lt;SUM(Loan!Q$13*12)+Loan!Q$15,Loan!Q$17/SUM(Loan!Q$13*12),0),0)</f>
        <v>0</v>
      </c>
      <c r="U41" s="211">
        <f t="shared" si="11"/>
        <v>35</v>
      </c>
      <c r="V41" s="212">
        <f>IF(Loan!C$37=U41,Loan!C$41,IF(Am!Y40&gt;0,Am!Y40,0))</f>
        <v>0</v>
      </c>
      <c r="W41" s="212">
        <f>V41*(Loan!C$33/12)</f>
        <v>0</v>
      </c>
      <c r="X41" s="209">
        <f>IF(V41&gt;0, IF(V41&lt;Loan!C$43, V41, Loan!C$43-Am!W41),0)</f>
        <v>0</v>
      </c>
      <c r="Y41" s="209">
        <f t="shared" si="12"/>
        <v>0</v>
      </c>
      <c r="Z41" s="208">
        <f t="shared" si="4"/>
        <v>0</v>
      </c>
      <c r="AA41" s="209">
        <f t="shared" si="5"/>
        <v>0</v>
      </c>
      <c r="AB41" s="210">
        <f>IF(AB40&gt;0,AB40-AC41,IF(U41=Loan!C$37,Loan!C$39-AC41,0))</f>
        <v>0</v>
      </c>
      <c r="AC41" s="210">
        <f>IF(U41&gt;=Loan!C$37,IF(U41&lt;SUM(Loan!C$35*12)+Loan!C$37,Loan!C$39/SUM(Loan!C$35*12),0),0)</f>
        <v>0</v>
      </c>
      <c r="AE41" s="211">
        <f t="shared" si="13"/>
        <v>35</v>
      </c>
      <c r="AF41" s="212">
        <f>IF(Loan!Q$37=AE41,Loan!Q$41,IF(Am!AI40&gt;0,Am!AI40,0))</f>
        <v>0</v>
      </c>
      <c r="AG41" s="212">
        <f>AF41*(Loan!Q$33/12)</f>
        <v>0</v>
      </c>
      <c r="AH41" s="209">
        <f>IF(AF41&gt;0, IF(AF41&lt;Loan!Q$43, AF41, Loan!Q$43-Am!AG41),0)</f>
        <v>0</v>
      </c>
      <c r="AI41" s="209">
        <f t="shared" si="14"/>
        <v>0</v>
      </c>
      <c r="AJ41" s="208">
        <f t="shared" si="6"/>
        <v>0</v>
      </c>
      <c r="AK41" s="209">
        <f t="shared" si="7"/>
        <v>0</v>
      </c>
      <c r="AL41" s="210">
        <f>IF(AL40&gt;0,AL40-AM41,IF(AE41=Loan!Q$37,Loan!Q$39-AM41,0))</f>
        <v>0</v>
      </c>
      <c r="AM41" s="210">
        <f>IF(AE41&gt;=Loan!Q$37,IF(AE41&lt;SUM(Loan!Q$35*12)+Loan!Q$37,Loan!Q$39/SUM(Loan!Q$35*12),0),0)</f>
        <v>0</v>
      </c>
      <c r="AO41" s="210">
        <f t="shared" si="15"/>
        <v>0</v>
      </c>
    </row>
    <row r="42" spans="1:41" ht="15" customHeight="1">
      <c r="A42" s="213">
        <f t="shared" si="16"/>
        <v>36</v>
      </c>
      <c r="B42" s="214">
        <f>IF(Loan!C$15=A42,Loan!C$19,IF(Am!E41&gt;0,Am!E41,0))</f>
        <v>9126.5316741926345</v>
      </c>
      <c r="C42" s="214">
        <f>B42*(Loan!C$11/12)</f>
        <v>49.435379901876772</v>
      </c>
      <c r="D42" s="215">
        <f>IF(B42&gt;0, IF(B42&lt;Loan!C$21, B42,Loan!C$21-Am!C42),0)</f>
        <v>341.88758447269407</v>
      </c>
      <c r="E42" s="215">
        <f t="shared" si="8"/>
        <v>8784.6440897199409</v>
      </c>
      <c r="F42" s="216">
        <f t="shared" si="0"/>
        <v>4250.0066371049597</v>
      </c>
      <c r="G42" s="217">
        <f t="shared" si="1"/>
        <v>4534.6374526149812</v>
      </c>
      <c r="H42" s="218">
        <f>IF(H41&gt;0,H41-I42,IF(A42=Loan!C$15,Loan!C$17-I42,0))</f>
        <v>0</v>
      </c>
      <c r="I42" s="218">
        <f>IF(A42&gt;=Loan!C$15,IF(A42&lt;SUM(Loan!C$13*12)+Loan!C$15,Loan!C$17/SUM(Loan!C$13*12),0),0)</f>
        <v>0</v>
      </c>
      <c r="K42" s="219">
        <f t="shared" si="9"/>
        <v>36</v>
      </c>
      <c r="L42" s="220">
        <f>IF(Loan!Q$15=K42,Loan!Q$19,IF(Am!O41&gt;0,Am!O41,0))</f>
        <v>0</v>
      </c>
      <c r="M42" s="220">
        <f>L42*(Loan!Q$11/12)</f>
        <v>0</v>
      </c>
      <c r="N42" s="217">
        <f>IF(L42&gt;0, IF(L42&lt;Loan!Q$21, L42, Loan!Q$21-Am!M42),0)</f>
        <v>0</v>
      </c>
      <c r="O42" s="217">
        <f t="shared" si="10"/>
        <v>0</v>
      </c>
      <c r="P42" s="216">
        <f t="shared" si="2"/>
        <v>0</v>
      </c>
      <c r="Q42" s="217">
        <f t="shared" si="3"/>
        <v>0</v>
      </c>
      <c r="R42" s="218">
        <f>IF(R41&gt;0,R41-S42,IF(K42=Loan!Q$15,Loan!Q$17-S42,0))</f>
        <v>0</v>
      </c>
      <c r="S42" s="218">
        <f>IF(K42&gt;=Loan!Q$15,IF(K42&lt;SUM(Loan!Q$13*12)+Loan!Q$15,Loan!Q$17/SUM(Loan!Q$13*12),0),0)</f>
        <v>0</v>
      </c>
      <c r="U42" s="219">
        <f t="shared" si="11"/>
        <v>36</v>
      </c>
      <c r="V42" s="220">
        <f>IF(Loan!C$37=U42,Loan!C$41,IF(Am!Y41&gt;0,Am!Y41,0))</f>
        <v>0</v>
      </c>
      <c r="W42" s="220">
        <f>V42*(Loan!C$33/12)</f>
        <v>0</v>
      </c>
      <c r="X42" s="217">
        <f>IF(V42&gt;0, IF(V42&lt;Loan!C$43, V42, Loan!C$43-Am!W42),0)</f>
        <v>0</v>
      </c>
      <c r="Y42" s="217">
        <f t="shared" si="12"/>
        <v>0</v>
      </c>
      <c r="Z42" s="216">
        <f t="shared" si="4"/>
        <v>0</v>
      </c>
      <c r="AA42" s="217">
        <f t="shared" si="5"/>
        <v>0</v>
      </c>
      <c r="AB42" s="218">
        <f>IF(AB41&gt;0,AB41-AC42,IF(U42=Loan!C$37,Loan!C$39-AC42,0))</f>
        <v>0</v>
      </c>
      <c r="AC42" s="218">
        <f>IF(U42&gt;=Loan!C$37,IF(U42&lt;SUM(Loan!C$35*12)+Loan!C$37,Loan!C$39/SUM(Loan!C$35*12),0),0)</f>
        <v>0</v>
      </c>
      <c r="AE42" s="219">
        <f t="shared" si="13"/>
        <v>36</v>
      </c>
      <c r="AF42" s="220">
        <f>IF(Loan!Q$37=AE42,Loan!Q$41,IF(Am!AI41&gt;0,Am!AI41,0))</f>
        <v>0</v>
      </c>
      <c r="AG42" s="220">
        <f>AF42*(Loan!Q$33/12)</f>
        <v>0</v>
      </c>
      <c r="AH42" s="217">
        <f>IF(AF42&gt;0, IF(AF42&lt;Loan!Q$43, AF42, Loan!Q$43-Am!AG42),0)</f>
        <v>0</v>
      </c>
      <c r="AI42" s="217">
        <f t="shared" si="14"/>
        <v>0</v>
      </c>
      <c r="AJ42" s="216">
        <f t="shared" si="6"/>
        <v>0</v>
      </c>
      <c r="AK42" s="217">
        <f t="shared" si="7"/>
        <v>0</v>
      </c>
      <c r="AL42" s="218">
        <f>IF(AL41&gt;0,AL41-AM42,IF(AE42=Loan!Q$37,Loan!Q$39-AM42,0))</f>
        <v>0</v>
      </c>
      <c r="AM42" s="218">
        <f>IF(AE42&gt;=Loan!Q$37,IF(AE42&lt;SUM(Loan!Q$35*12)+Loan!Q$37,Loan!Q$39/SUM(Loan!Q$35*12),0),0)</f>
        <v>0</v>
      </c>
      <c r="AO42" s="218">
        <f t="shared" si="15"/>
        <v>0</v>
      </c>
    </row>
    <row r="43" spans="1:41" ht="15" customHeight="1">
      <c r="A43" s="205">
        <f t="shared" si="16"/>
        <v>37</v>
      </c>
      <c r="B43" s="206">
        <f>IF(Loan!C$15=A43,Loan!C$19,IF(Am!E42&gt;0,Am!E42,0))</f>
        <v>8784.6440897199409</v>
      </c>
      <c r="C43" s="206">
        <f>B43*(Loan!C$11/12)</f>
        <v>47.583488819316351</v>
      </c>
      <c r="D43" s="207">
        <f>IF(B43&gt;0, IF(B43&lt;Loan!C$21, B43,Loan!C$21-Am!C43),0)</f>
        <v>343.7394755552545</v>
      </c>
      <c r="E43" s="207">
        <f t="shared" si="8"/>
        <v>8440.9046141646868</v>
      </c>
      <c r="K43" s="211">
        <f t="shared" si="9"/>
        <v>37</v>
      </c>
      <c r="L43" s="212">
        <f>IF(Loan!Q$15=K43,Loan!Q$19,IF(Am!O42&gt;0,Am!O42,0))</f>
        <v>0</v>
      </c>
      <c r="M43" s="212">
        <f>L43*(Loan!Q$11/12)</f>
        <v>0</v>
      </c>
      <c r="N43" s="209">
        <f>IF(L43&gt;0, IF(L43&lt;Loan!Q$21, L43, Loan!Q$21-Am!M43),0)</f>
        <v>0</v>
      </c>
      <c r="O43" s="209">
        <f t="shared" si="10"/>
        <v>0</v>
      </c>
      <c r="U43" s="211">
        <f t="shared" si="11"/>
        <v>37</v>
      </c>
      <c r="V43" s="212">
        <f>IF(Loan!C$37=U43,Loan!C$41,IF(Am!Y42&gt;0,Am!Y42,0))</f>
        <v>0</v>
      </c>
      <c r="W43" s="212">
        <f>V43*(Loan!C$33/12)</f>
        <v>0</v>
      </c>
      <c r="X43" s="209">
        <f>IF(V43&gt;0, IF(V43&lt;Loan!C$43, V43, Loan!C$43-Am!W43),0)</f>
        <v>0</v>
      </c>
      <c r="Y43" s="209">
        <f t="shared" si="12"/>
        <v>0</v>
      </c>
      <c r="AE43" s="211">
        <f t="shared" si="13"/>
        <v>37</v>
      </c>
      <c r="AF43" s="212">
        <f>IF(Loan!Q$37=AE43,Loan!Q$41,IF(Am!AI42&gt;0,Am!AI42,0))</f>
        <v>0</v>
      </c>
      <c r="AG43" s="212">
        <f>AF43*(Loan!Q$33/12)</f>
        <v>0</v>
      </c>
      <c r="AH43" s="209">
        <f>IF(AF43&gt;0, IF(AF43&lt;Loan!Q$43, AF43, Loan!Q$43-Am!AG43),0)</f>
        <v>0</v>
      </c>
      <c r="AI43" s="209">
        <f t="shared" si="14"/>
        <v>0</v>
      </c>
    </row>
    <row r="44" spans="1:41" ht="15" customHeight="1">
      <c r="A44" s="205">
        <f t="shared" si="16"/>
        <v>38</v>
      </c>
      <c r="B44" s="206">
        <f>IF(Loan!C$15=A44,Loan!C$19,IF(Am!E43&gt;0,Am!E43,0))</f>
        <v>8440.9046141646868</v>
      </c>
      <c r="C44" s="206">
        <f>B44*(Loan!C$11/12)</f>
        <v>45.72156666005872</v>
      </c>
      <c r="D44" s="207">
        <f>IF(B44&gt;0, IF(B44&lt;Loan!C$21, B44,Loan!C$21-Am!C44),0)</f>
        <v>345.60139771451213</v>
      </c>
      <c r="E44" s="207">
        <f t="shared" si="8"/>
        <v>8095.3032164501747</v>
      </c>
      <c r="K44" s="211">
        <f t="shared" si="9"/>
        <v>38</v>
      </c>
      <c r="L44" s="212">
        <f>IF(Loan!Q$15=K44,Loan!Q$19,IF(Am!O43&gt;0,Am!O43,0))</f>
        <v>0</v>
      </c>
      <c r="M44" s="212">
        <f>L44*(Loan!Q$11/12)</f>
        <v>0</v>
      </c>
      <c r="N44" s="209">
        <f>IF(L44&gt;0, IF(L44&lt;Loan!Q$21, L44, Loan!Q$21-Am!M44),0)</f>
        <v>0</v>
      </c>
      <c r="O44" s="209">
        <f t="shared" si="10"/>
        <v>0</v>
      </c>
      <c r="U44" s="211">
        <f t="shared" si="11"/>
        <v>38</v>
      </c>
      <c r="V44" s="212">
        <f>IF(Loan!C$37=U44,Loan!C$41,IF(Am!Y43&gt;0,Am!Y43,0))</f>
        <v>0</v>
      </c>
      <c r="W44" s="212">
        <f>V44*(Loan!C$33/12)</f>
        <v>0</v>
      </c>
      <c r="X44" s="209">
        <f>IF(V44&gt;0, IF(V44&lt;Loan!C$43, V44, Loan!C$43-Am!W44),0)</f>
        <v>0</v>
      </c>
      <c r="Y44" s="209">
        <f t="shared" si="12"/>
        <v>0</v>
      </c>
      <c r="AE44" s="211">
        <f t="shared" si="13"/>
        <v>38</v>
      </c>
      <c r="AF44" s="212">
        <f>IF(Loan!Q$37=AE44,Loan!Q$41,IF(Am!AI43&gt;0,Am!AI43,0))</f>
        <v>0</v>
      </c>
      <c r="AG44" s="212">
        <f>AF44*(Loan!Q$33/12)</f>
        <v>0</v>
      </c>
      <c r="AH44" s="209">
        <f>IF(AF44&gt;0, IF(AF44&lt;Loan!Q$43, AF44, Loan!Q$43-Am!AG44),0)</f>
        <v>0</v>
      </c>
      <c r="AI44" s="209">
        <f t="shared" si="14"/>
        <v>0</v>
      </c>
    </row>
    <row r="45" spans="1:41" ht="15" customHeight="1">
      <c r="A45" s="205">
        <f t="shared" si="16"/>
        <v>39</v>
      </c>
      <c r="B45" s="206">
        <f>IF(Loan!C$15=A45,Loan!C$19,IF(Am!E44&gt;0,Am!E44,0))</f>
        <v>8095.3032164501747</v>
      </c>
      <c r="C45" s="206">
        <f>B45*(Loan!C$11/12)</f>
        <v>43.849559089105114</v>
      </c>
      <c r="D45" s="207">
        <f>IF(B45&gt;0, IF(B45&lt;Loan!C$21, B45,Loan!C$21-Am!C45),0)</f>
        <v>347.47340528546573</v>
      </c>
      <c r="E45" s="207">
        <f t="shared" si="8"/>
        <v>7747.8298111647091</v>
      </c>
      <c r="K45" s="211">
        <f t="shared" si="9"/>
        <v>39</v>
      </c>
      <c r="L45" s="212">
        <f>IF(Loan!Q$15=K45,Loan!Q$19,IF(Am!O44&gt;0,Am!O44,0))</f>
        <v>0</v>
      </c>
      <c r="M45" s="212">
        <f>L45*(Loan!Q$11/12)</f>
        <v>0</v>
      </c>
      <c r="N45" s="209">
        <f>IF(L45&gt;0, IF(L45&lt;Loan!Q$21, L45, Loan!Q$21-Am!M45),0)</f>
        <v>0</v>
      </c>
      <c r="O45" s="209">
        <f t="shared" si="10"/>
        <v>0</v>
      </c>
      <c r="U45" s="211">
        <f t="shared" si="11"/>
        <v>39</v>
      </c>
      <c r="V45" s="212">
        <f>IF(Loan!C$37=U45,Loan!C$41,IF(Am!Y44&gt;0,Am!Y44,0))</f>
        <v>0</v>
      </c>
      <c r="W45" s="212">
        <f>V45*(Loan!C$33/12)</f>
        <v>0</v>
      </c>
      <c r="X45" s="209">
        <f>IF(V45&gt;0, IF(V45&lt;Loan!C$43, V45, Loan!C$43-Am!W45),0)</f>
        <v>0</v>
      </c>
      <c r="Y45" s="209">
        <f t="shared" si="12"/>
        <v>0</v>
      </c>
      <c r="AE45" s="211">
        <f t="shared" si="13"/>
        <v>39</v>
      </c>
      <c r="AF45" s="212">
        <f>IF(Loan!Q$37=AE45,Loan!Q$41,IF(Am!AI44&gt;0,Am!AI44,0))</f>
        <v>0</v>
      </c>
      <c r="AG45" s="212">
        <f>AF45*(Loan!Q$33/12)</f>
        <v>0</v>
      </c>
      <c r="AH45" s="209">
        <f>IF(AF45&gt;0, IF(AF45&lt;Loan!Q$43, AF45, Loan!Q$43-Am!AG45),0)</f>
        <v>0</v>
      </c>
      <c r="AI45" s="209">
        <f t="shared" si="14"/>
        <v>0</v>
      </c>
    </row>
    <row r="46" spans="1:41" ht="15" customHeight="1">
      <c r="A46" s="205">
        <f t="shared" si="16"/>
        <v>40</v>
      </c>
      <c r="B46" s="206">
        <f>IF(Loan!C$15=A46,Loan!C$19,IF(Am!E45&gt;0,Am!E45,0))</f>
        <v>7747.8298111647091</v>
      </c>
      <c r="C46" s="206">
        <f>B46*(Loan!C$11/12)</f>
        <v>41.967411477142178</v>
      </c>
      <c r="D46" s="207">
        <f>IF(B46&gt;0, IF(B46&lt;Loan!C$21, B46,Loan!C$21-Am!C46),0)</f>
        <v>349.35555289742865</v>
      </c>
      <c r="E46" s="207">
        <f t="shared" si="8"/>
        <v>7398.4742582672807</v>
      </c>
      <c r="K46" s="211">
        <f t="shared" si="9"/>
        <v>40</v>
      </c>
      <c r="L46" s="212">
        <f>IF(Loan!Q$15=K46,Loan!Q$19,IF(Am!O45&gt;0,Am!O45,0))</f>
        <v>0</v>
      </c>
      <c r="M46" s="212">
        <f>L46*(Loan!Q$11/12)</f>
        <v>0</v>
      </c>
      <c r="N46" s="209">
        <f>IF(L46&gt;0, IF(L46&lt;Loan!Q$21, L46, Loan!Q$21-Am!M46),0)</f>
        <v>0</v>
      </c>
      <c r="O46" s="209">
        <f t="shared" si="10"/>
        <v>0</v>
      </c>
      <c r="U46" s="211">
        <f t="shared" si="11"/>
        <v>40</v>
      </c>
      <c r="V46" s="212">
        <f>IF(Loan!C$37=U46,Loan!C$41,IF(Am!Y45&gt;0,Am!Y45,0))</f>
        <v>0</v>
      </c>
      <c r="W46" s="212">
        <f>V46*(Loan!C$33/12)</f>
        <v>0</v>
      </c>
      <c r="X46" s="209">
        <f>IF(V46&gt;0, IF(V46&lt;Loan!C$43, V46, Loan!C$43-Am!W46),0)</f>
        <v>0</v>
      </c>
      <c r="Y46" s="209">
        <f t="shared" si="12"/>
        <v>0</v>
      </c>
      <c r="AE46" s="211">
        <f t="shared" si="13"/>
        <v>40</v>
      </c>
      <c r="AF46" s="212">
        <f>IF(Loan!Q$37=AE46,Loan!Q$41,IF(Am!AI45&gt;0,Am!AI45,0))</f>
        <v>0</v>
      </c>
      <c r="AG46" s="212">
        <f>AF46*(Loan!Q$33/12)</f>
        <v>0</v>
      </c>
      <c r="AH46" s="209">
        <f>IF(AF46&gt;0, IF(AF46&lt;Loan!Q$43, AF46, Loan!Q$43-Am!AG46),0)</f>
        <v>0</v>
      </c>
      <c r="AI46" s="209">
        <f t="shared" si="14"/>
        <v>0</v>
      </c>
    </row>
    <row r="47" spans="1:41" ht="15" customHeight="1">
      <c r="A47" s="205">
        <f t="shared" si="16"/>
        <v>41</v>
      </c>
      <c r="B47" s="206">
        <f>IF(Loan!C$15=A47,Loan!C$19,IF(Am!E46&gt;0,Am!E46,0))</f>
        <v>7398.4742582672807</v>
      </c>
      <c r="C47" s="206">
        <f>B47*(Loan!C$11/12)</f>
        <v>40.075068898947769</v>
      </c>
      <c r="D47" s="207">
        <f>IF(B47&gt;0, IF(B47&lt;Loan!C$21, B47,Loan!C$21-Am!C47),0)</f>
        <v>351.24789547562307</v>
      </c>
      <c r="E47" s="207">
        <f t="shared" si="8"/>
        <v>7047.2263627916573</v>
      </c>
      <c r="K47" s="211">
        <f t="shared" si="9"/>
        <v>41</v>
      </c>
      <c r="L47" s="212">
        <f>IF(Loan!Q$15=K47,Loan!Q$19,IF(Am!O46&gt;0,Am!O46,0))</f>
        <v>0</v>
      </c>
      <c r="M47" s="212">
        <f>L47*(Loan!Q$11/12)</f>
        <v>0</v>
      </c>
      <c r="N47" s="209">
        <f>IF(L47&gt;0, IF(L47&lt;Loan!Q$21, L47, Loan!Q$21-Am!M47),0)</f>
        <v>0</v>
      </c>
      <c r="O47" s="209">
        <f t="shared" si="10"/>
        <v>0</v>
      </c>
      <c r="U47" s="211">
        <f t="shared" si="11"/>
        <v>41</v>
      </c>
      <c r="V47" s="212">
        <f>IF(Loan!C$37=U47,Loan!C$41,IF(Am!Y46&gt;0,Am!Y46,0))</f>
        <v>0</v>
      </c>
      <c r="W47" s="212">
        <f>V47*(Loan!C$33/12)</f>
        <v>0</v>
      </c>
      <c r="X47" s="209">
        <f>IF(V47&gt;0, IF(V47&lt;Loan!C$43, V47, Loan!C$43-Am!W47),0)</f>
        <v>0</v>
      </c>
      <c r="Y47" s="209">
        <f t="shared" si="12"/>
        <v>0</v>
      </c>
      <c r="AE47" s="211">
        <f t="shared" si="13"/>
        <v>41</v>
      </c>
      <c r="AF47" s="212">
        <f>IF(Loan!Q$37=AE47,Loan!Q$41,IF(Am!AI46&gt;0,Am!AI46,0))</f>
        <v>0</v>
      </c>
      <c r="AG47" s="212">
        <f>AF47*(Loan!Q$33/12)</f>
        <v>0</v>
      </c>
      <c r="AH47" s="209">
        <f>IF(AF47&gt;0, IF(AF47&lt;Loan!Q$43, AF47, Loan!Q$43-Am!AG47),0)</f>
        <v>0</v>
      </c>
      <c r="AI47" s="209">
        <f t="shared" si="14"/>
        <v>0</v>
      </c>
    </row>
    <row r="48" spans="1:41" ht="15" customHeight="1">
      <c r="A48" s="205">
        <f t="shared" si="16"/>
        <v>42</v>
      </c>
      <c r="B48" s="206">
        <f>IF(Loan!C$15=A48,Loan!C$19,IF(Am!E47&gt;0,Am!E47,0))</f>
        <v>7047.2263627916573</v>
      </c>
      <c r="C48" s="206">
        <f>B48*(Loan!C$11/12)</f>
        <v>38.172476131788144</v>
      </c>
      <c r="D48" s="207">
        <f>IF(B48&gt;0, IF(B48&lt;Loan!C$21, B48,Loan!C$21-Am!C48),0)</f>
        <v>353.15048824278273</v>
      </c>
      <c r="E48" s="207">
        <f t="shared" si="8"/>
        <v>6694.0758745488747</v>
      </c>
      <c r="K48" s="211">
        <f t="shared" si="9"/>
        <v>42</v>
      </c>
      <c r="L48" s="212">
        <f>IF(Loan!Q$15=K48,Loan!Q$19,IF(Am!O47&gt;0,Am!O47,0))</f>
        <v>0</v>
      </c>
      <c r="M48" s="212">
        <f>L48*(Loan!Q$11/12)</f>
        <v>0</v>
      </c>
      <c r="N48" s="209">
        <f>IF(L48&gt;0, IF(L48&lt;Loan!Q$21, L48, Loan!Q$21-Am!M48),0)</f>
        <v>0</v>
      </c>
      <c r="O48" s="209">
        <f t="shared" si="10"/>
        <v>0</v>
      </c>
      <c r="U48" s="211">
        <f t="shared" si="11"/>
        <v>42</v>
      </c>
      <c r="V48" s="212">
        <f>IF(Loan!C$37=U48,Loan!C$41,IF(Am!Y47&gt;0,Am!Y47,0))</f>
        <v>0</v>
      </c>
      <c r="W48" s="212">
        <f>V48*(Loan!C$33/12)</f>
        <v>0</v>
      </c>
      <c r="X48" s="209">
        <f>IF(V48&gt;0, IF(V48&lt;Loan!C$43, V48, Loan!C$43-Am!W48),0)</f>
        <v>0</v>
      </c>
      <c r="Y48" s="209">
        <f t="shared" si="12"/>
        <v>0</v>
      </c>
      <c r="AE48" s="211">
        <f t="shared" si="13"/>
        <v>42</v>
      </c>
      <c r="AF48" s="212">
        <f>IF(Loan!Q$37=AE48,Loan!Q$41,IF(Am!AI47&gt;0,Am!AI47,0))</f>
        <v>0</v>
      </c>
      <c r="AG48" s="212">
        <f>AF48*(Loan!Q$33/12)</f>
        <v>0</v>
      </c>
      <c r="AH48" s="209">
        <f>IF(AF48&gt;0, IF(AF48&lt;Loan!Q$43, AF48, Loan!Q$43-Am!AG48),0)</f>
        <v>0</v>
      </c>
      <c r="AI48" s="209">
        <f t="shared" si="14"/>
        <v>0</v>
      </c>
    </row>
    <row r="49" spans="1:39" ht="15" customHeight="1">
      <c r="A49" s="205">
        <f t="shared" si="16"/>
        <v>43</v>
      </c>
      <c r="B49" s="206">
        <f>IF(Loan!C$15=A49,Loan!C$19,IF(Am!E48&gt;0,Am!E48,0))</f>
        <v>6694.0758745488747</v>
      </c>
      <c r="C49" s="206">
        <f>B49*(Loan!C$11/12)</f>
        <v>36.259577653806403</v>
      </c>
      <c r="D49" s="207">
        <f>IF(B49&gt;0, IF(B49&lt;Loan!C$21, B49,Loan!C$21-Am!C49),0)</f>
        <v>355.06338672076447</v>
      </c>
      <c r="E49" s="207">
        <f t="shared" si="8"/>
        <v>6339.0124878281104</v>
      </c>
      <c r="K49" s="211">
        <f t="shared" si="9"/>
        <v>43</v>
      </c>
      <c r="L49" s="212">
        <f>IF(Loan!Q$15=K49,Loan!Q$19,IF(Am!O48&gt;0,Am!O48,0))</f>
        <v>0</v>
      </c>
      <c r="M49" s="212">
        <f>L49*(Loan!Q$11/12)</f>
        <v>0</v>
      </c>
      <c r="N49" s="209">
        <f>IF(L49&gt;0, IF(L49&lt;Loan!Q$21, L49, Loan!Q$21-Am!M49),0)</f>
        <v>0</v>
      </c>
      <c r="O49" s="209">
        <f t="shared" si="10"/>
        <v>0</v>
      </c>
      <c r="U49" s="211">
        <f t="shared" si="11"/>
        <v>43</v>
      </c>
      <c r="V49" s="212">
        <f>IF(Loan!C$37=U49,Loan!C$41,IF(Am!Y48&gt;0,Am!Y48,0))</f>
        <v>0</v>
      </c>
      <c r="W49" s="212">
        <f>V49*(Loan!C$33/12)</f>
        <v>0</v>
      </c>
      <c r="X49" s="209">
        <f>IF(V49&gt;0, IF(V49&lt;Loan!C$43, V49, Loan!C$43-Am!W49),0)</f>
        <v>0</v>
      </c>
      <c r="Y49" s="209">
        <f t="shared" si="12"/>
        <v>0</v>
      </c>
      <c r="AE49" s="211">
        <f t="shared" si="13"/>
        <v>43</v>
      </c>
      <c r="AF49" s="212">
        <f>IF(Loan!Q$37=AE49,Loan!Q$41,IF(Am!AI48&gt;0,Am!AI48,0))</f>
        <v>0</v>
      </c>
      <c r="AG49" s="212">
        <f>AF49*(Loan!Q$33/12)</f>
        <v>0</v>
      </c>
      <c r="AH49" s="209">
        <f>IF(AF49&gt;0, IF(AF49&lt;Loan!Q$43, AF49, Loan!Q$43-Am!AG49),0)</f>
        <v>0</v>
      </c>
      <c r="AI49" s="209">
        <f t="shared" si="14"/>
        <v>0</v>
      </c>
    </row>
    <row r="50" spans="1:39" ht="15" customHeight="1">
      <c r="A50" s="205">
        <f t="shared" si="16"/>
        <v>44</v>
      </c>
      <c r="B50" s="206">
        <f>IF(Loan!C$15=A50,Loan!C$19,IF(Am!E49&gt;0,Am!E49,0))</f>
        <v>6339.0124878281104</v>
      </c>
      <c r="C50" s="206">
        <f>B50*(Loan!C$11/12)</f>
        <v>34.336317642402264</v>
      </c>
      <c r="D50" s="207">
        <f>IF(B50&gt;0, IF(B50&lt;Loan!C$21, B50,Loan!C$21-Am!C50),0)</f>
        <v>356.98664673216859</v>
      </c>
      <c r="E50" s="207">
        <f t="shared" si="8"/>
        <v>5982.0258410959414</v>
      </c>
      <c r="K50" s="211">
        <f t="shared" si="9"/>
        <v>44</v>
      </c>
      <c r="L50" s="212">
        <f>IF(Loan!Q$15=K50,Loan!Q$19,IF(Am!O49&gt;0,Am!O49,0))</f>
        <v>0</v>
      </c>
      <c r="M50" s="212">
        <f>L50*(Loan!Q$11/12)</f>
        <v>0</v>
      </c>
      <c r="N50" s="209">
        <f>IF(L50&gt;0, IF(L50&lt;Loan!Q$21, L50, Loan!Q$21-Am!M50),0)</f>
        <v>0</v>
      </c>
      <c r="O50" s="209">
        <f t="shared" si="10"/>
        <v>0</v>
      </c>
      <c r="U50" s="211">
        <f t="shared" si="11"/>
        <v>44</v>
      </c>
      <c r="V50" s="212">
        <f>IF(Loan!C$37=U50,Loan!C$41,IF(Am!Y49&gt;0,Am!Y49,0))</f>
        <v>0</v>
      </c>
      <c r="W50" s="212">
        <f>V50*(Loan!C$33/12)</f>
        <v>0</v>
      </c>
      <c r="X50" s="209">
        <f>IF(V50&gt;0, IF(V50&lt;Loan!C$43, V50, Loan!C$43-Am!W50),0)</f>
        <v>0</v>
      </c>
      <c r="Y50" s="209">
        <f t="shared" si="12"/>
        <v>0</v>
      </c>
      <c r="AE50" s="211">
        <f t="shared" si="13"/>
        <v>44</v>
      </c>
      <c r="AF50" s="212">
        <f>IF(Loan!Q$37=AE50,Loan!Q$41,IF(Am!AI49&gt;0,Am!AI49,0))</f>
        <v>0</v>
      </c>
      <c r="AG50" s="212">
        <f>AF50*(Loan!Q$33/12)</f>
        <v>0</v>
      </c>
      <c r="AH50" s="209">
        <f>IF(AF50&gt;0, IF(AF50&lt;Loan!Q$43, AF50, Loan!Q$43-Am!AG50),0)</f>
        <v>0</v>
      </c>
      <c r="AI50" s="209">
        <f t="shared" si="14"/>
        <v>0</v>
      </c>
    </row>
    <row r="51" spans="1:39" ht="15" customHeight="1">
      <c r="A51" s="205">
        <f t="shared" si="16"/>
        <v>45</v>
      </c>
      <c r="B51" s="206">
        <f>IF(Loan!C$15=A51,Loan!C$19,IF(Am!E50&gt;0,Am!E50,0))</f>
        <v>5982.0258410959414</v>
      </c>
      <c r="C51" s="206">
        <f>B51*(Loan!C$11/12)</f>
        <v>32.402639972603019</v>
      </c>
      <c r="D51" s="207">
        <f>IF(B51&gt;0, IF(B51&lt;Loan!C$21, B51,Loan!C$21-Am!C51),0)</f>
        <v>358.92032440196783</v>
      </c>
      <c r="E51" s="207">
        <f t="shared" si="8"/>
        <v>5623.1055166939732</v>
      </c>
      <c r="K51" s="211">
        <f t="shared" si="9"/>
        <v>45</v>
      </c>
      <c r="L51" s="212">
        <f>IF(Loan!Q$15=K51,Loan!Q$19,IF(Am!O50&gt;0,Am!O50,0))</f>
        <v>0</v>
      </c>
      <c r="M51" s="212">
        <f>L51*(Loan!Q$11/12)</f>
        <v>0</v>
      </c>
      <c r="N51" s="209">
        <f>IF(L51&gt;0, IF(L51&lt;Loan!Q$21, L51, Loan!Q$21-Am!M51),0)</f>
        <v>0</v>
      </c>
      <c r="O51" s="209">
        <f t="shared" si="10"/>
        <v>0</v>
      </c>
      <c r="U51" s="211">
        <f t="shared" si="11"/>
        <v>45</v>
      </c>
      <c r="V51" s="212">
        <f>IF(Loan!C$37=U51,Loan!C$41,IF(Am!Y50&gt;0,Am!Y50,0))</f>
        <v>0</v>
      </c>
      <c r="W51" s="212">
        <f>V51*(Loan!C$33/12)</f>
        <v>0</v>
      </c>
      <c r="X51" s="209">
        <f>IF(V51&gt;0, IF(V51&lt;Loan!C$43, V51, Loan!C$43-Am!W51),0)</f>
        <v>0</v>
      </c>
      <c r="Y51" s="209">
        <f t="shared" si="12"/>
        <v>0</v>
      </c>
      <c r="AE51" s="211">
        <f t="shared" si="13"/>
        <v>45</v>
      </c>
      <c r="AF51" s="212">
        <f>IF(Loan!Q$37=AE51,Loan!Q$41,IF(Am!AI50&gt;0,Am!AI50,0))</f>
        <v>0</v>
      </c>
      <c r="AG51" s="212">
        <f>AF51*(Loan!Q$33/12)</f>
        <v>0</v>
      </c>
      <c r="AH51" s="209">
        <f>IF(AF51&gt;0, IF(AF51&lt;Loan!Q$43, AF51, Loan!Q$43-Am!AG51),0)</f>
        <v>0</v>
      </c>
      <c r="AI51" s="209">
        <f t="shared" si="14"/>
        <v>0</v>
      </c>
    </row>
    <row r="52" spans="1:39" ht="15" customHeight="1">
      <c r="A52" s="205">
        <f t="shared" si="16"/>
        <v>46</v>
      </c>
      <c r="B52" s="206">
        <f>IF(Loan!C$15=A52,Loan!C$19,IF(Am!E51&gt;0,Am!E51,0))</f>
        <v>5623.1055166939732</v>
      </c>
      <c r="C52" s="206">
        <f>B52*(Loan!C$11/12)</f>
        <v>30.458488215425689</v>
      </c>
      <c r="D52" s="207">
        <f>IF(B52&gt;0, IF(B52&lt;Loan!C$21, B52,Loan!C$21-Am!C52),0)</f>
        <v>360.86447615914517</v>
      </c>
      <c r="E52" s="207">
        <f t="shared" si="8"/>
        <v>5262.2410405348282</v>
      </c>
      <c r="K52" s="211">
        <f t="shared" si="9"/>
        <v>46</v>
      </c>
      <c r="L52" s="212">
        <f>IF(Loan!Q$15=K52,Loan!Q$19,IF(Am!O51&gt;0,Am!O51,0))</f>
        <v>0</v>
      </c>
      <c r="M52" s="212">
        <f>L52*(Loan!Q$11/12)</f>
        <v>0</v>
      </c>
      <c r="N52" s="209">
        <f>IF(L52&gt;0, IF(L52&lt;Loan!Q$21, L52, Loan!Q$21-Am!M52),0)</f>
        <v>0</v>
      </c>
      <c r="O52" s="209">
        <f t="shared" si="10"/>
        <v>0</v>
      </c>
      <c r="U52" s="211">
        <f t="shared" si="11"/>
        <v>46</v>
      </c>
      <c r="V52" s="212">
        <f>IF(Loan!C$37=U52,Loan!C$41,IF(Am!Y51&gt;0,Am!Y51,0))</f>
        <v>0</v>
      </c>
      <c r="W52" s="212">
        <f>V52*(Loan!C$33/12)</f>
        <v>0</v>
      </c>
      <c r="X52" s="209">
        <f>IF(V52&gt;0, IF(V52&lt;Loan!C$43, V52, Loan!C$43-Am!W52),0)</f>
        <v>0</v>
      </c>
      <c r="Y52" s="209">
        <f t="shared" si="12"/>
        <v>0</v>
      </c>
      <c r="AE52" s="211">
        <f t="shared" si="13"/>
        <v>46</v>
      </c>
      <c r="AF52" s="212">
        <f>IF(Loan!Q$37=AE52,Loan!Q$41,IF(Am!AI51&gt;0,Am!AI51,0))</f>
        <v>0</v>
      </c>
      <c r="AG52" s="212">
        <f>AF52*(Loan!Q$33/12)</f>
        <v>0</v>
      </c>
      <c r="AH52" s="209">
        <f>IF(AF52&gt;0, IF(AF52&lt;Loan!Q$43, AF52, Loan!Q$43-Am!AG52),0)</f>
        <v>0</v>
      </c>
      <c r="AI52" s="209">
        <f t="shared" si="14"/>
        <v>0</v>
      </c>
    </row>
    <row r="53" spans="1:39" ht="15" customHeight="1">
      <c r="A53" s="205">
        <f t="shared" si="16"/>
        <v>47</v>
      </c>
      <c r="B53" s="206">
        <f>IF(Loan!C$15=A53,Loan!C$19,IF(Am!E52&gt;0,Am!E52,0))</f>
        <v>5262.2410405348282</v>
      </c>
      <c r="C53" s="206">
        <f>B53*(Loan!C$11/12)</f>
        <v>28.503805636230322</v>
      </c>
      <c r="D53" s="207">
        <f>IF(B53&gt;0, IF(B53&lt;Loan!C$21, B53,Loan!C$21-Am!C53),0)</f>
        <v>362.81915873834055</v>
      </c>
      <c r="E53" s="207">
        <f t="shared" si="8"/>
        <v>4899.4218817964875</v>
      </c>
      <c r="K53" s="211">
        <f t="shared" si="9"/>
        <v>47</v>
      </c>
      <c r="L53" s="212">
        <f>IF(Loan!Q$15=K53,Loan!Q$19,IF(Am!O52&gt;0,Am!O52,0))</f>
        <v>0</v>
      </c>
      <c r="M53" s="212">
        <f>L53*(Loan!Q$11/12)</f>
        <v>0</v>
      </c>
      <c r="N53" s="209">
        <f>IF(L53&gt;0, IF(L53&lt;Loan!Q$21, L53, Loan!Q$21-Am!M53),0)</f>
        <v>0</v>
      </c>
      <c r="O53" s="209">
        <f t="shared" si="10"/>
        <v>0</v>
      </c>
      <c r="U53" s="211">
        <f t="shared" si="11"/>
        <v>47</v>
      </c>
      <c r="V53" s="212">
        <f>IF(Loan!C$37=U53,Loan!C$41,IF(Am!Y52&gt;0,Am!Y52,0))</f>
        <v>0</v>
      </c>
      <c r="W53" s="212">
        <f>V53*(Loan!C$33/12)</f>
        <v>0</v>
      </c>
      <c r="X53" s="209">
        <f>IF(V53&gt;0, IF(V53&lt;Loan!C$43, V53, Loan!C$43-Am!W53),0)</f>
        <v>0</v>
      </c>
      <c r="Y53" s="209">
        <f t="shared" si="12"/>
        <v>0</v>
      </c>
      <c r="AE53" s="211">
        <f t="shared" si="13"/>
        <v>47</v>
      </c>
      <c r="AF53" s="212">
        <f>IF(Loan!Q$37=AE53,Loan!Q$41,IF(Am!AI52&gt;0,Am!AI52,0))</f>
        <v>0</v>
      </c>
      <c r="AG53" s="212">
        <f>AF53*(Loan!Q$33/12)</f>
        <v>0</v>
      </c>
      <c r="AH53" s="209">
        <f>IF(AF53&gt;0, IF(AF53&lt;Loan!Q$43, AF53, Loan!Q$43-Am!AG53),0)</f>
        <v>0</v>
      </c>
      <c r="AI53" s="209">
        <f t="shared" si="14"/>
        <v>0</v>
      </c>
    </row>
    <row r="54" spans="1:39" ht="15" customHeight="1">
      <c r="A54" s="213">
        <f t="shared" si="16"/>
        <v>48</v>
      </c>
      <c r="B54" s="214">
        <f>IF(Loan!C$15=A54,Loan!C$19,IF(Am!E53&gt;0,Am!E53,0))</f>
        <v>4899.4218817964875</v>
      </c>
      <c r="C54" s="214">
        <f>B54*(Loan!C$11/12)</f>
        <v>26.538535193064309</v>
      </c>
      <c r="D54" s="215">
        <f>IF(B54&gt;0, IF(B54&lt;Loan!C$21, B54,Loan!C$21-Am!C54),0)</f>
        <v>364.78442918150654</v>
      </c>
      <c r="E54" s="215">
        <f t="shared" si="8"/>
        <v>4534.6374526149812</v>
      </c>
      <c r="F54" s="208"/>
      <c r="G54" s="208"/>
      <c r="H54" s="208"/>
      <c r="I54" s="208"/>
      <c r="K54" s="219">
        <f t="shared" si="9"/>
        <v>48</v>
      </c>
      <c r="L54" s="220">
        <f>IF(Loan!Q$15=K54,Loan!Q$19,IF(Am!O53&gt;0,Am!O53,0))</f>
        <v>0</v>
      </c>
      <c r="M54" s="220">
        <f>L54*(Loan!Q$11/12)</f>
        <v>0</v>
      </c>
      <c r="N54" s="217">
        <f>IF(L54&gt;0, IF(L54&lt;Loan!Q$21, L54, Loan!Q$21-Am!M54),0)</f>
        <v>0</v>
      </c>
      <c r="O54" s="217">
        <f t="shared" si="10"/>
        <v>0</v>
      </c>
      <c r="P54" s="212"/>
      <c r="Q54" s="208"/>
      <c r="R54" s="208"/>
      <c r="S54" s="208"/>
      <c r="U54" s="219">
        <f t="shared" si="11"/>
        <v>48</v>
      </c>
      <c r="V54" s="220">
        <f>IF(Loan!C$37=U54,Loan!C$41,IF(Am!Y53&gt;0,Am!Y53,0))</f>
        <v>0</v>
      </c>
      <c r="W54" s="220">
        <f>V54*(Loan!C$33/12)</f>
        <v>0</v>
      </c>
      <c r="X54" s="217">
        <f>IF(V54&gt;0, IF(V54&lt;Loan!C$43, V54, Loan!C$43-Am!W54),0)</f>
        <v>0</v>
      </c>
      <c r="Y54" s="217">
        <f t="shared" si="12"/>
        <v>0</v>
      </c>
      <c r="Z54" s="212"/>
      <c r="AA54" s="208"/>
      <c r="AB54" s="208"/>
      <c r="AC54" s="208"/>
      <c r="AE54" s="219">
        <f t="shared" si="13"/>
        <v>48</v>
      </c>
      <c r="AF54" s="220">
        <f>IF(Loan!Q$37=AE54,Loan!Q$41,IF(Am!AI53&gt;0,Am!AI53,0))</f>
        <v>0</v>
      </c>
      <c r="AG54" s="220">
        <f>AF54*(Loan!Q$33/12)</f>
        <v>0</v>
      </c>
      <c r="AH54" s="217">
        <f>IF(AF54&gt;0, IF(AF54&lt;Loan!Q$43, AF54, Loan!Q$43-Am!AG54),0)</f>
        <v>0</v>
      </c>
      <c r="AI54" s="217">
        <f t="shared" si="14"/>
        <v>0</v>
      </c>
      <c r="AJ54" s="212"/>
      <c r="AK54" s="208"/>
      <c r="AM54" s="208"/>
    </row>
  </sheetData>
  <mergeCells count="25">
    <mergeCell ref="AH4:AH5"/>
    <mergeCell ref="AJ4:AJ5"/>
    <mergeCell ref="AK4:AK5"/>
    <mergeCell ref="W4:W5"/>
    <mergeCell ref="X4:X5"/>
    <mergeCell ref="Z4:Z5"/>
    <mergeCell ref="AA4:AA5"/>
    <mergeCell ref="AE4:AE5"/>
    <mergeCell ref="AG4:AG5"/>
    <mergeCell ref="K4:K5"/>
    <mergeCell ref="M4:M5"/>
    <mergeCell ref="N4:N5"/>
    <mergeCell ref="P4:P5"/>
    <mergeCell ref="Q4:Q5"/>
    <mergeCell ref="U4:U5"/>
    <mergeCell ref="A1:E1"/>
    <mergeCell ref="A2:E2"/>
    <mergeCell ref="K2:O2"/>
    <mergeCell ref="U2:Y2"/>
    <mergeCell ref="AE2:AI2"/>
    <mergeCell ref="A4:A5"/>
    <mergeCell ref="C4:C5"/>
    <mergeCell ref="D4:D5"/>
    <mergeCell ref="F4:F5"/>
    <mergeCell ref="G4:G5"/>
  </mergeCells>
  <printOptions horizontalCentered="1"/>
  <pageMargins left="0.5" right="0.5" top="0.75" bottom="0.5" header="0.75" footer="0"/>
  <pageSetup scale="88" orientation="portrait" horizontalDpi="4294967292" r:id="rId1"/>
  <headerFooter>
    <oddFooter>&amp;L&amp;6This template was created by the South Dakota SBDC.&amp;R&amp;"Arial MT,Bold"&amp;8&amp;D 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5"/>
  <sheetViews>
    <sheetView tabSelected="1" topLeftCell="A2" workbookViewId="0">
      <selection activeCell="J17" sqref="J17"/>
    </sheetView>
  </sheetViews>
  <sheetFormatPr defaultRowHeight="15" customHeight="1"/>
  <cols>
    <col min="1" max="1" width="0.28515625" style="57" customWidth="1"/>
    <col min="2" max="2" width="27.85546875" style="58" bestFit="1" customWidth="1"/>
    <col min="3" max="3" width="9.140625" style="58"/>
    <col min="4" max="4" width="2.5703125" style="58" customWidth="1"/>
    <col min="5" max="5" width="13.5703125" style="58" customWidth="1"/>
    <col min="6" max="6" width="15.140625" style="58" customWidth="1"/>
    <col min="7" max="7" width="2" style="58" customWidth="1"/>
    <col min="8" max="8" width="16.28515625" style="58" customWidth="1"/>
    <col min="9" max="9" width="9.140625" style="58"/>
    <col min="10" max="10" width="12.140625" style="58" customWidth="1"/>
    <col min="11" max="11" width="16.85546875" style="58" customWidth="1"/>
    <col min="12" max="12" width="14.5703125" style="58" customWidth="1"/>
    <col min="13" max="13" width="0.28515625" style="57" customWidth="1"/>
    <col min="14" max="16384" width="9.140625" style="57"/>
  </cols>
  <sheetData>
    <row r="1" spans="2:12" ht="15" hidden="1" customHeight="1"/>
    <row r="2" spans="2:12" ht="1.5" customHeight="1"/>
    <row r="3" spans="2:12" ht="15.75" customHeight="1">
      <c r="B3" s="221" t="s">
        <v>141</v>
      </c>
      <c r="C3" s="225"/>
      <c r="D3" s="225"/>
      <c r="E3" s="225"/>
      <c r="F3" s="222"/>
      <c r="G3" s="227"/>
      <c r="H3" s="228" t="s">
        <v>142</v>
      </c>
      <c r="I3" s="229"/>
      <c r="J3" s="229"/>
      <c r="K3" s="229"/>
      <c r="L3" s="230"/>
    </row>
    <row r="4" spans="2:12" ht="15.75" customHeight="1">
      <c r="B4" s="223"/>
      <c r="C4" s="226"/>
      <c r="D4" s="226"/>
      <c r="E4" s="226"/>
      <c r="F4" s="224"/>
      <c r="G4" s="231"/>
      <c r="H4" s="105"/>
      <c r="J4" s="119"/>
      <c r="K4" s="119"/>
      <c r="L4" s="232"/>
    </row>
    <row r="5" spans="2:12" ht="15" customHeight="1">
      <c r="B5" s="233" t="s">
        <v>143</v>
      </c>
      <c r="C5" s="37"/>
      <c r="D5" s="94"/>
      <c r="E5" s="36"/>
      <c r="F5" s="85">
        <f>'Inc1'!F13</f>
        <v>100000</v>
      </c>
      <c r="G5" s="148"/>
      <c r="H5" s="105"/>
      <c r="I5" s="119"/>
      <c r="J5" s="119"/>
      <c r="K5" s="119"/>
      <c r="L5" s="232"/>
    </row>
    <row r="6" spans="2:12" ht="15" customHeight="1">
      <c r="B6" s="83"/>
      <c r="C6" s="43"/>
      <c r="D6" s="83"/>
      <c r="E6" s="10"/>
      <c r="F6" s="43"/>
      <c r="G6" s="119"/>
      <c r="H6" s="105" t="s">
        <v>144</v>
      </c>
      <c r="I6" s="119"/>
      <c r="J6" s="119"/>
      <c r="K6" s="119"/>
      <c r="L6" s="232"/>
    </row>
    <row r="7" spans="2:12" ht="15" customHeight="1">
      <c r="B7" s="234" t="s">
        <v>145</v>
      </c>
      <c r="C7" s="43"/>
      <c r="D7" s="83"/>
      <c r="E7" s="10"/>
      <c r="F7" s="235">
        <f>'Inc1'!F20</f>
        <v>56500</v>
      </c>
      <c r="G7" s="148"/>
      <c r="H7" s="105"/>
      <c r="I7" s="119"/>
      <c r="J7" s="119"/>
      <c r="K7" s="119"/>
      <c r="L7" s="232"/>
    </row>
    <row r="8" spans="2:12" ht="15" customHeight="1">
      <c r="B8" s="83"/>
      <c r="C8" s="43"/>
      <c r="D8" s="83"/>
      <c r="E8" s="10"/>
      <c r="F8" s="43"/>
      <c r="G8" s="10"/>
      <c r="H8" s="10"/>
      <c r="I8" s="10"/>
      <c r="J8" s="10"/>
      <c r="K8" s="10"/>
      <c r="L8" s="43"/>
    </row>
    <row r="9" spans="2:12" ht="15" customHeight="1">
      <c r="B9" s="236" t="s">
        <v>146</v>
      </c>
      <c r="C9" s="71"/>
      <c r="D9" s="99"/>
      <c r="E9" s="32"/>
      <c r="F9" s="237">
        <f>F5-F7</f>
        <v>43500</v>
      </c>
      <c r="G9" s="238"/>
      <c r="H9" s="20"/>
      <c r="I9" s="20"/>
      <c r="J9" s="20"/>
      <c r="K9" s="20"/>
      <c r="L9" s="239"/>
    </row>
    <row r="10" spans="2:12" ht="15" customHeight="1">
      <c r="B10" s="83"/>
      <c r="C10" s="43"/>
      <c r="D10" s="83"/>
      <c r="E10" s="10"/>
      <c r="F10" s="43"/>
      <c r="G10" s="10"/>
      <c r="H10" s="2"/>
      <c r="I10" s="43"/>
      <c r="J10" s="2"/>
      <c r="K10" s="2"/>
      <c r="L10" s="43"/>
    </row>
    <row r="11" spans="2:12" ht="12.75" customHeight="1">
      <c r="B11" s="234" t="s">
        <v>147</v>
      </c>
      <c r="C11" s="43"/>
      <c r="D11" s="240" t="s">
        <v>148</v>
      </c>
      <c r="E11" s="241"/>
      <c r="F11" s="242"/>
      <c r="G11" s="243" t="s">
        <v>149</v>
      </c>
      <c r="H11" s="244"/>
      <c r="I11" s="245"/>
      <c r="J11" s="2"/>
      <c r="K11" s="2"/>
      <c r="L11" s="43"/>
    </row>
    <row r="12" spans="2:12" ht="15" customHeight="1">
      <c r="B12" s="83" t="str">
        <f>'Inc1'!D25</f>
        <v>广告费用</v>
      </c>
      <c r="C12" s="43"/>
      <c r="D12" s="83"/>
      <c r="E12" s="10"/>
      <c r="F12" s="61">
        <f>'Inc1'!F25</f>
        <v>200</v>
      </c>
      <c r="G12" s="10"/>
      <c r="H12" s="2"/>
      <c r="I12" s="246" t="s">
        <v>150</v>
      </c>
      <c r="J12" s="2"/>
      <c r="K12" s="2"/>
      <c r="L12" s="43"/>
    </row>
    <row r="13" spans="2:12" ht="15" customHeight="1">
      <c r="B13" s="83" t="str">
        <f>'Inc1'!D26</f>
        <v>营业执照和费用</v>
      </c>
      <c r="C13" s="43"/>
      <c r="D13" s="83"/>
      <c r="E13" s="10"/>
      <c r="F13" s="61">
        <f>'Inc1'!F26</f>
        <v>200</v>
      </c>
      <c r="G13" s="10"/>
      <c r="H13" s="2"/>
      <c r="I13" s="246" t="s">
        <v>150</v>
      </c>
      <c r="J13" s="2"/>
      <c r="K13" s="2"/>
      <c r="L13" s="43"/>
    </row>
    <row r="14" spans="2:12" ht="15" customHeight="1">
      <c r="B14" s="83" t="str">
        <f>'Inc1'!D27</f>
        <v>车辆费用</v>
      </c>
      <c r="C14" s="43"/>
      <c r="D14" s="83"/>
      <c r="E14" s="10"/>
      <c r="F14" s="61">
        <f>'Inc1'!F27</f>
        <v>650</v>
      </c>
      <c r="G14" s="10"/>
      <c r="H14" s="2"/>
      <c r="I14" s="246" t="s">
        <v>150</v>
      </c>
      <c r="J14" s="2"/>
      <c r="K14" s="2"/>
      <c r="L14" s="43"/>
    </row>
    <row r="15" spans="2:12" ht="15" customHeight="1">
      <c r="B15" s="83" t="str">
        <f>'Inc1'!D28</f>
        <v>会费和订阅</v>
      </c>
      <c r="C15" s="43"/>
      <c r="D15" s="83"/>
      <c r="E15" s="10"/>
      <c r="F15" s="61">
        <f>'Inc1'!F28</f>
        <v>500</v>
      </c>
      <c r="G15" s="10"/>
      <c r="H15" s="2"/>
      <c r="I15" s="246" t="s">
        <v>150</v>
      </c>
      <c r="J15" s="2"/>
      <c r="K15" s="2"/>
      <c r="L15" s="43"/>
    </row>
    <row r="16" spans="2:12" ht="15" customHeight="1">
      <c r="B16" s="83" t="str">
        <f>'Inc1'!D29</f>
        <v>保险</v>
      </c>
      <c r="C16" s="43"/>
      <c r="D16" s="83"/>
      <c r="E16" s="10"/>
      <c r="F16" s="61">
        <f>'Inc1'!F29</f>
        <v>800</v>
      </c>
      <c r="G16" s="10"/>
      <c r="H16" s="2"/>
      <c r="I16" s="246" t="s">
        <v>150</v>
      </c>
      <c r="J16" s="2"/>
      <c r="K16" s="2"/>
      <c r="L16" s="43"/>
    </row>
    <row r="17" spans="2:12" ht="15" customHeight="1">
      <c r="B17" s="83" t="str">
        <f>'Inc1'!D30</f>
        <v>维修和保养</v>
      </c>
      <c r="C17" s="43"/>
      <c r="D17" s="83"/>
      <c r="E17" s="10"/>
      <c r="F17" s="61">
        <f>'Inc1'!F30</f>
        <v>1200</v>
      </c>
      <c r="G17" s="10"/>
      <c r="H17" s="2"/>
      <c r="I17" s="246" t="s">
        <v>150</v>
      </c>
      <c r="J17" s="2"/>
      <c r="K17" s="2"/>
      <c r="L17" s="43"/>
    </row>
    <row r="18" spans="2:12" ht="15" customHeight="1">
      <c r="B18" s="83" t="str">
        <f>'Inc1'!D31</f>
        <v>营销费用</v>
      </c>
      <c r="C18" s="43"/>
      <c r="D18" s="83"/>
      <c r="E18" s="10"/>
      <c r="F18" s="61">
        <f>'Inc1'!F31</f>
        <v>1500</v>
      </c>
      <c r="G18" s="10"/>
      <c r="H18" s="2"/>
      <c r="I18" s="246" t="s">
        <v>150</v>
      </c>
      <c r="J18" s="2"/>
      <c r="K18" s="2"/>
      <c r="L18" s="43"/>
    </row>
    <row r="19" spans="2:12" ht="15" customHeight="1">
      <c r="B19" s="83" t="str">
        <f>'Inc1'!D32</f>
        <v>餐饮和娱乐</v>
      </c>
      <c r="C19" s="43"/>
      <c r="D19" s="83"/>
      <c r="E19" s="10"/>
      <c r="F19" s="61">
        <f>'Inc1'!F32</f>
        <v>3200</v>
      </c>
      <c r="G19" s="10"/>
      <c r="H19" s="2"/>
      <c r="I19" s="246" t="s">
        <v>150</v>
      </c>
      <c r="J19" s="2"/>
      <c r="K19" s="2"/>
      <c r="L19" s="43"/>
    </row>
    <row r="20" spans="2:12" ht="15" customHeight="1">
      <c r="B20" s="83" t="str">
        <f>'Inc1'!D33</f>
        <v>办公用品</v>
      </c>
      <c r="C20" s="43"/>
      <c r="D20" s="83"/>
      <c r="E20" s="10"/>
      <c r="F20" s="61">
        <f>'Inc1'!F33</f>
        <v>700</v>
      </c>
      <c r="G20" s="10"/>
      <c r="H20" s="2"/>
      <c r="I20" s="246" t="s">
        <v>150</v>
      </c>
      <c r="J20" s="2"/>
      <c r="K20" s="2"/>
      <c r="L20" s="43"/>
    </row>
    <row r="21" spans="2:12" ht="15" customHeight="1">
      <c r="B21" s="83" t="str">
        <f>'Inc1'!D34</f>
        <v>邮资</v>
      </c>
      <c r="C21" s="43"/>
      <c r="D21" s="83"/>
      <c r="E21" s="10"/>
      <c r="F21" s="61">
        <f>'Inc1'!F34</f>
        <v>250</v>
      </c>
      <c r="G21" s="10"/>
      <c r="H21" s="2"/>
      <c r="I21" s="246">
        <v>250</v>
      </c>
      <c r="J21" s="2"/>
      <c r="K21" s="2"/>
      <c r="L21" s="43"/>
    </row>
    <row r="22" spans="2:12" ht="15" customHeight="1">
      <c r="B22" s="83" t="str">
        <f>'Inc1'!D35</f>
        <v>专业费用</v>
      </c>
      <c r="C22" s="43"/>
      <c r="D22" s="83"/>
      <c r="E22" s="10"/>
      <c r="F22" s="61">
        <f>'Inc1'!F35</f>
        <v>1000</v>
      </c>
      <c r="G22" s="10"/>
      <c r="H22" s="2"/>
      <c r="I22" s="246" t="s">
        <v>150</v>
      </c>
      <c r="J22" s="2"/>
      <c r="K22" s="2"/>
      <c r="L22" s="43"/>
    </row>
    <row r="23" spans="2:12" ht="15" customHeight="1">
      <c r="B23" s="83" t="str">
        <f>'Inc1'!D36</f>
        <v>租金</v>
      </c>
      <c r="C23" s="43"/>
      <c r="D23" s="83"/>
      <c r="E23" s="10"/>
      <c r="F23" s="61">
        <f>'Inc1'!F36</f>
        <v>8000</v>
      </c>
      <c r="G23" s="10"/>
      <c r="H23" s="2"/>
      <c r="I23" s="246" t="s">
        <v>150</v>
      </c>
      <c r="J23" s="2"/>
      <c r="K23" s="2"/>
      <c r="L23" s="43"/>
    </row>
    <row r="24" spans="2:12" ht="15" customHeight="1">
      <c r="B24" s="83" t="str">
        <f>'Inc1'!D37</f>
        <v>设备租金</v>
      </c>
      <c r="C24" s="43"/>
      <c r="D24" s="83"/>
      <c r="E24" s="10"/>
      <c r="F24" s="61">
        <f>'Inc1'!F37</f>
        <v>250</v>
      </c>
      <c r="G24" s="10"/>
      <c r="H24" s="2"/>
      <c r="I24" s="246">
        <v>250</v>
      </c>
      <c r="J24" s="2"/>
      <c r="K24" s="2"/>
      <c r="L24" s="43"/>
    </row>
    <row r="25" spans="2:12" ht="15" customHeight="1">
      <c r="B25" s="83" t="str">
        <f>'Inc1'!D38</f>
        <v>耗材</v>
      </c>
      <c r="C25" s="43"/>
      <c r="D25" s="83"/>
      <c r="E25" s="10"/>
      <c r="F25" s="61">
        <f>'Inc1'!F38</f>
        <v>350</v>
      </c>
      <c r="G25" s="10"/>
      <c r="H25" s="2"/>
      <c r="I25" s="246" t="s">
        <v>150</v>
      </c>
      <c r="J25" s="2"/>
      <c r="K25" s="2"/>
      <c r="L25" s="43"/>
    </row>
    <row r="26" spans="2:12" ht="15" customHeight="1">
      <c r="B26" s="83" t="str">
        <f>'Inc1'!D39</f>
        <v>电话</v>
      </c>
      <c r="C26" s="43"/>
      <c r="D26" s="83"/>
      <c r="E26" s="10"/>
      <c r="F26" s="61">
        <f>'Inc1'!F39</f>
        <v>1200</v>
      </c>
      <c r="G26" s="10"/>
      <c r="H26" s="2"/>
      <c r="I26" s="246" t="s">
        <v>150</v>
      </c>
      <c r="J26" s="2"/>
      <c r="K26" s="2"/>
      <c r="L26" s="43"/>
    </row>
    <row r="27" spans="2:12" ht="15" customHeight="1">
      <c r="B27" s="83" t="str">
        <f>'Inc1'!D40</f>
        <v>公用事业</v>
      </c>
      <c r="C27" s="43"/>
      <c r="D27" s="83"/>
      <c r="E27" s="10"/>
      <c r="F27" s="61">
        <f>'Inc1'!F40</f>
        <v>2400</v>
      </c>
      <c r="G27" s="10"/>
      <c r="H27" s="2"/>
      <c r="I27" s="246">
        <v>1200</v>
      </c>
      <c r="J27" s="2"/>
      <c r="K27" s="2"/>
      <c r="L27" s="43"/>
    </row>
    <row r="28" spans="2:12" ht="15" customHeight="1">
      <c r="B28" s="83" t="str">
        <f>'Inc1'!D41</f>
        <v>行政工资</v>
      </c>
      <c r="C28" s="43"/>
      <c r="D28" s="83"/>
      <c r="E28" s="10"/>
      <c r="F28" s="61">
        <f>'Inc1'!F41</f>
        <v>10000</v>
      </c>
      <c r="G28" s="10"/>
      <c r="H28" s="2"/>
      <c r="I28" s="246" t="s">
        <v>150</v>
      </c>
      <c r="J28" s="2"/>
      <c r="K28" s="2"/>
      <c r="L28" s="43"/>
    </row>
    <row r="29" spans="2:12" ht="15" customHeight="1">
      <c r="B29" s="83" t="str">
        <f>'Inc1'!D42</f>
        <v>员工福利</v>
      </c>
      <c r="C29" s="43"/>
      <c r="D29" s="83"/>
      <c r="E29" s="10"/>
      <c r="F29" s="61">
        <f>'Inc1'!F42</f>
        <v>2000</v>
      </c>
      <c r="G29" s="10"/>
      <c r="H29" s="2"/>
      <c r="I29" s="246" t="s">
        <v>150</v>
      </c>
      <c r="J29" s="2"/>
      <c r="K29" s="2"/>
      <c r="L29" s="43"/>
    </row>
    <row r="30" spans="2:12" ht="15" customHeight="1">
      <c r="B30" s="83" t="str">
        <f>'Inc1'!D43</f>
        <v>银行费用</v>
      </c>
      <c r="C30" s="43"/>
      <c r="D30" s="83"/>
      <c r="E30" s="10"/>
      <c r="F30" s="61">
        <f>'Inc1'!F43</f>
        <v>25</v>
      </c>
      <c r="G30" s="10"/>
      <c r="H30" s="2"/>
      <c r="I30" s="246" t="s">
        <v>150</v>
      </c>
      <c r="J30" s="2"/>
      <c r="K30" s="2"/>
      <c r="L30" s="43"/>
    </row>
    <row r="31" spans="2:12" ht="15" customHeight="1">
      <c r="B31" s="83" t="str">
        <f>'Inc1'!D44</f>
        <v>供暖费用</v>
      </c>
      <c r="C31" s="43"/>
      <c r="D31" s="83"/>
      <c r="E31" s="10"/>
      <c r="F31" s="61">
        <f>'Inc1'!F44</f>
        <v>2000</v>
      </c>
      <c r="G31" s="10"/>
      <c r="H31" s="2"/>
      <c r="I31" s="246" t="s">
        <v>150</v>
      </c>
      <c r="J31" s="2"/>
      <c r="K31" s="2"/>
      <c r="L31" s="43"/>
    </row>
    <row r="32" spans="2:12" ht="15" customHeight="1">
      <c r="B32" s="83" t="str">
        <f>'Inc1'!D45</f>
        <v xml:space="preserve">工人补偿 </v>
      </c>
      <c r="C32" s="43"/>
      <c r="D32" s="83"/>
      <c r="E32" s="10"/>
      <c r="F32" s="61">
        <f>'Inc1'!F45</f>
        <v>550</v>
      </c>
      <c r="G32" s="10"/>
      <c r="H32" s="2"/>
      <c r="I32" s="246" t="s">
        <v>150</v>
      </c>
      <c r="J32" s="2"/>
      <c r="K32" s="2"/>
      <c r="L32" s="43"/>
    </row>
    <row r="33" spans="2:12" ht="15" customHeight="1">
      <c r="B33" s="83" t="str">
        <f>'Inc1'!D46</f>
        <v>捐献</v>
      </c>
      <c r="C33" s="43"/>
      <c r="D33" s="83"/>
      <c r="E33" s="10"/>
      <c r="F33" s="61">
        <f>'Inc1'!F46</f>
        <v>150</v>
      </c>
      <c r="G33" s="10"/>
      <c r="H33" s="2"/>
      <c r="I33" s="246" t="s">
        <v>150</v>
      </c>
      <c r="J33" s="2"/>
      <c r="K33" s="2"/>
      <c r="L33" s="43"/>
    </row>
    <row r="34" spans="2:12" ht="15" customHeight="1">
      <c r="B34" s="83" t="str">
        <f>'Inc1'!D47</f>
        <v>培训和员工发展</v>
      </c>
      <c r="C34" s="43"/>
      <c r="D34" s="83"/>
      <c r="E34" s="10"/>
      <c r="F34" s="61">
        <f>'Inc1'!F47</f>
        <v>500</v>
      </c>
      <c r="G34" s="10"/>
      <c r="H34" s="2"/>
      <c r="I34" s="246" t="s">
        <v>150</v>
      </c>
      <c r="J34" s="2"/>
      <c r="K34" s="2"/>
      <c r="L34" s="43"/>
    </row>
    <row r="35" spans="2:12" ht="15" customHeight="1">
      <c r="B35" s="83" t="str">
        <f>'Inc1'!D48</f>
        <v>杂项</v>
      </c>
      <c r="C35" s="43"/>
      <c r="D35" s="83"/>
      <c r="E35" s="10"/>
      <c r="F35" s="61">
        <f>'Inc1'!F48</f>
        <v>75</v>
      </c>
      <c r="G35" s="10"/>
      <c r="H35" s="2"/>
      <c r="I35" s="246"/>
      <c r="J35" s="2"/>
      <c r="K35" s="2"/>
      <c r="L35" s="43"/>
    </row>
    <row r="36" spans="2:12" ht="15" customHeight="1">
      <c r="B36" s="83" t="str">
        <f>'Inc1'!D49</f>
        <v>（开放）</v>
      </c>
      <c r="C36" s="43"/>
      <c r="D36" s="83"/>
      <c r="E36" s="10"/>
      <c r="F36" s="61">
        <f>'Inc1'!F49</f>
        <v>0</v>
      </c>
      <c r="G36" s="10"/>
      <c r="H36" s="2"/>
      <c r="I36" s="246" t="s">
        <v>150</v>
      </c>
      <c r="J36" s="2"/>
      <c r="K36" s="2"/>
      <c r="L36" s="43"/>
    </row>
    <row r="37" spans="2:12" ht="15" customHeight="1">
      <c r="B37" s="83" t="str">
        <f>'Inc1'!D50</f>
        <v>（开放）</v>
      </c>
      <c r="C37" s="43"/>
      <c r="D37" s="83"/>
      <c r="E37" s="10"/>
      <c r="F37" s="61">
        <f>'Inc1'!F50</f>
        <v>0</v>
      </c>
      <c r="G37" s="10"/>
      <c r="H37" s="2"/>
      <c r="I37" s="246" t="s">
        <v>150</v>
      </c>
      <c r="J37" s="2"/>
      <c r="K37" s="2"/>
      <c r="L37" s="43"/>
    </row>
    <row r="38" spans="2:12" ht="15" customHeight="1">
      <c r="B38" s="83" t="str">
        <f>'Inc1'!D51</f>
        <v>（开放）</v>
      </c>
      <c r="C38" s="43"/>
      <c r="D38" s="83"/>
      <c r="E38" s="10"/>
      <c r="F38" s="61">
        <f>'Inc1'!F51</f>
        <v>0</v>
      </c>
      <c r="G38" s="10"/>
      <c r="H38" s="2"/>
      <c r="I38" s="246" t="s">
        <v>150</v>
      </c>
      <c r="J38" s="2"/>
      <c r="K38" s="2"/>
      <c r="L38" s="43"/>
    </row>
    <row r="39" spans="2:12" ht="15" customHeight="1">
      <c r="B39" s="83" t="str">
        <f>'Inc1'!D52</f>
        <v>（开放）</v>
      </c>
      <c r="C39" s="43"/>
      <c r="D39" s="83"/>
      <c r="E39" s="10"/>
      <c r="F39" s="61">
        <f>'Inc1'!F52</f>
        <v>0</v>
      </c>
      <c r="G39" s="10"/>
      <c r="H39" s="2"/>
      <c r="I39" s="246" t="s">
        <v>150</v>
      </c>
      <c r="J39" s="2"/>
      <c r="K39" s="2"/>
      <c r="L39" s="43"/>
    </row>
    <row r="40" spans="2:12" ht="15" hidden="1" customHeight="1">
      <c r="B40" s="83" t="str">
        <f>'Inc1'!D57</f>
        <v>DO NOT USE OR DELETE</v>
      </c>
      <c r="C40" s="43"/>
      <c r="D40" s="83"/>
      <c r="E40" s="10"/>
      <c r="F40" s="61">
        <f>'Inc1'!F57</f>
        <v>0</v>
      </c>
      <c r="G40" s="10"/>
      <c r="H40" s="2"/>
      <c r="I40" s="246"/>
      <c r="J40" s="2"/>
      <c r="K40" s="2"/>
      <c r="L40" s="43"/>
    </row>
    <row r="41" spans="2:12" ht="15" customHeight="1">
      <c r="B41" s="234" t="s">
        <v>151</v>
      </c>
      <c r="C41" s="43"/>
      <c r="D41" s="83"/>
      <c r="E41" s="10"/>
      <c r="F41" s="43">
        <f>'CF1'!G56</f>
        <v>3498.8934809258294</v>
      </c>
      <c r="G41" s="10"/>
      <c r="H41" s="2"/>
      <c r="I41" s="246"/>
      <c r="J41" s="2"/>
      <c r="K41" s="2"/>
      <c r="L41" s="43"/>
    </row>
    <row r="42" spans="2:12" ht="15" customHeight="1">
      <c r="B42" s="83" t="s">
        <v>126</v>
      </c>
      <c r="C42" s="43"/>
      <c r="D42" s="83"/>
      <c r="E42" s="10"/>
      <c r="F42" s="43">
        <f>'Inc1'!F53</f>
        <v>1196.9820915690216</v>
      </c>
      <c r="G42" s="10"/>
      <c r="H42" s="2"/>
      <c r="I42" s="246"/>
      <c r="J42" s="2"/>
      <c r="K42" s="2"/>
      <c r="L42" s="43"/>
    </row>
    <row r="43" spans="2:12" ht="15" customHeight="1">
      <c r="B43" s="83" t="str">
        <f>'Inc1'!D54</f>
        <v>内部-信用额度</v>
      </c>
      <c r="C43" s="68"/>
      <c r="D43" s="247"/>
      <c r="E43" s="248"/>
      <c r="F43" s="43">
        <f>'Inc1'!F54</f>
        <v>0</v>
      </c>
      <c r="G43" s="10"/>
      <c r="H43" s="2"/>
      <c r="I43" s="246"/>
      <c r="J43" s="2"/>
      <c r="K43" s="2"/>
      <c r="L43" s="43"/>
    </row>
    <row r="44" spans="2:12" ht="15" customHeight="1">
      <c r="B44" s="236" t="s">
        <v>51</v>
      </c>
      <c r="C44" s="71"/>
      <c r="D44" s="99"/>
      <c r="E44" s="32"/>
      <c r="F44" s="237">
        <f>SUM(F12:F43)</f>
        <v>42395.87557249485</v>
      </c>
      <c r="G44" s="249"/>
      <c r="H44" s="32"/>
      <c r="I44" s="250">
        <f>SUM(I12:I43)</f>
        <v>1700</v>
      </c>
      <c r="J44" s="2"/>
      <c r="K44" s="2"/>
      <c r="L44" s="43"/>
    </row>
    <row r="45" spans="2:12" ht="12.75" customHeight="1">
      <c r="B45" s="94"/>
      <c r="C45" s="251"/>
      <c r="D45" s="251"/>
      <c r="E45" s="36"/>
      <c r="F45" s="36"/>
      <c r="G45" s="36"/>
      <c r="H45" s="36"/>
      <c r="I45" s="36"/>
      <c r="J45" s="94"/>
      <c r="K45" s="251" t="s">
        <v>152</v>
      </c>
      <c r="L45" s="37"/>
    </row>
    <row r="46" spans="2:12" ht="15" customHeight="1">
      <c r="B46" s="83"/>
      <c r="C46" s="2"/>
      <c r="D46" s="2"/>
      <c r="E46" s="2"/>
      <c r="F46" s="2"/>
      <c r="G46" s="2"/>
      <c r="H46" s="2"/>
      <c r="I46" s="2"/>
      <c r="J46" s="83"/>
      <c r="K46" s="67" t="s">
        <v>153</v>
      </c>
      <c r="L46" s="43"/>
    </row>
    <row r="47" spans="2:12" ht="15" customHeight="1">
      <c r="B47" s="234"/>
      <c r="C47" s="2"/>
      <c r="D47" s="2"/>
      <c r="E47" s="252" t="s">
        <v>154</v>
      </c>
      <c r="G47" s="2"/>
      <c r="H47" s="253" t="s">
        <v>155</v>
      </c>
      <c r="I47" s="2"/>
      <c r="J47" s="254" t="s">
        <v>156</v>
      </c>
      <c r="K47" s="256" t="s">
        <v>143</v>
      </c>
      <c r="L47" s="254" t="s">
        <v>157</v>
      </c>
    </row>
    <row r="48" spans="2:12" ht="15" customHeight="1">
      <c r="B48" s="234"/>
      <c r="C48" s="75"/>
      <c r="D48" s="75"/>
      <c r="G48" s="2"/>
      <c r="I48" s="2"/>
      <c r="J48" s="255"/>
      <c r="K48" s="257" t="s">
        <v>158</v>
      </c>
      <c r="L48" s="255"/>
    </row>
    <row r="49" spans="2:12" ht="15" customHeight="1">
      <c r="B49" s="234" t="s">
        <v>159</v>
      </c>
      <c r="C49" s="2"/>
      <c r="D49" s="2"/>
      <c r="E49" s="258">
        <f>IF(F44&gt;0,SUM(F44-F41)/((F9-I44)/F5),"")</f>
        <v>93054.981080308673</v>
      </c>
      <c r="F49" s="2"/>
      <c r="G49" s="2"/>
      <c r="H49" s="259">
        <f>IF(F5&gt;0,E49/F5,"")</f>
        <v>0.93054981080308674</v>
      </c>
      <c r="I49" s="2"/>
      <c r="J49" s="260">
        <v>0.5</v>
      </c>
      <c r="K49" s="72">
        <f t="shared" ref="K49:K54" si="0">J49*F$5</f>
        <v>50000</v>
      </c>
      <c r="L49" s="68">
        <f t="shared" ref="L49:L54" si="1">IF(F$5&gt;0,(K49-$E$49)*(($F$9/$F$5)-($I$44/$F$5)),"")</f>
        <v>-17996.982091569025</v>
      </c>
    </row>
    <row r="50" spans="2:12" ht="15" customHeight="1">
      <c r="B50" s="83"/>
      <c r="C50" s="2"/>
      <c r="D50" s="2"/>
      <c r="E50" s="2"/>
      <c r="F50" s="2"/>
      <c r="G50" s="2"/>
      <c r="H50" s="2"/>
      <c r="I50" s="2"/>
      <c r="J50" s="261">
        <f>2/3</f>
        <v>0.66666666666666663</v>
      </c>
      <c r="K50" s="72">
        <f t="shared" si="0"/>
        <v>66666.666666666657</v>
      </c>
      <c r="L50" s="68">
        <f t="shared" si="1"/>
        <v>-11030.315424902363</v>
      </c>
    </row>
    <row r="51" spans="2:12" ht="15" customHeight="1">
      <c r="B51" s="234"/>
      <c r="C51" s="2"/>
      <c r="D51" s="2"/>
      <c r="E51" s="2"/>
      <c r="F51" s="2"/>
      <c r="G51" s="2"/>
      <c r="H51" s="2"/>
      <c r="I51" s="2"/>
      <c r="J51" s="261">
        <v>0.75</v>
      </c>
      <c r="K51" s="72">
        <f t="shared" si="0"/>
        <v>75000</v>
      </c>
      <c r="L51" s="68">
        <f t="shared" si="1"/>
        <v>-7546.9820915690252</v>
      </c>
    </row>
    <row r="52" spans="2:12" ht="15" customHeight="1">
      <c r="B52" s="234" t="s">
        <v>160</v>
      </c>
      <c r="C52" s="2"/>
      <c r="D52" s="2"/>
      <c r="E52" s="262">
        <f>IF(F44&gt;0,(F44-F29-F30)/((F9-I44)/F5),"")</f>
        <v>96581.042039461361</v>
      </c>
      <c r="F52" s="2"/>
      <c r="G52" s="2"/>
      <c r="H52" s="263">
        <f>IF(F5&gt;0,E52/F5,"")</f>
        <v>0.96581042039461362</v>
      </c>
      <c r="I52" s="264"/>
      <c r="J52" s="261">
        <v>1.25</v>
      </c>
      <c r="K52" s="72">
        <f t="shared" si="0"/>
        <v>125000</v>
      </c>
      <c r="L52" s="68">
        <f t="shared" si="1"/>
        <v>13353.017908430975</v>
      </c>
    </row>
    <row r="53" spans="2:12" ht="15" customHeight="1">
      <c r="B53" s="83"/>
      <c r="C53" s="2"/>
      <c r="D53" s="2"/>
      <c r="E53" s="2"/>
      <c r="F53" s="2"/>
      <c r="G53" s="2"/>
      <c r="H53" s="2"/>
      <c r="I53" s="2"/>
      <c r="J53" s="261">
        <v>1.5</v>
      </c>
      <c r="K53" s="72">
        <f t="shared" si="0"/>
        <v>150000</v>
      </c>
      <c r="L53" s="68">
        <f t="shared" si="1"/>
        <v>23803.017908430975</v>
      </c>
    </row>
    <row r="54" spans="2:12" ht="15" customHeight="1">
      <c r="B54" s="104"/>
      <c r="C54" s="20"/>
      <c r="D54" s="20"/>
      <c r="E54" s="20"/>
      <c r="F54" s="20"/>
      <c r="G54" s="16"/>
      <c r="H54" s="265"/>
      <c r="I54" s="20"/>
      <c r="J54" s="266">
        <v>2</v>
      </c>
      <c r="K54" s="267">
        <f t="shared" si="0"/>
        <v>200000</v>
      </c>
      <c r="L54" s="267">
        <f t="shared" si="1"/>
        <v>44703.017908430971</v>
      </c>
    </row>
    <row r="55" spans="2:12" ht="1.5" customHeight="1"/>
  </sheetData>
  <mergeCells count="5">
    <mergeCell ref="B3:F4"/>
    <mergeCell ref="D11:F11"/>
    <mergeCell ref="G11:I11"/>
    <mergeCell ref="J47:J48"/>
    <mergeCell ref="L47:L48"/>
  </mergeCells>
  <printOptions horizontalCentered="1" verticalCentered="1"/>
  <pageMargins left="0.25" right="0.25" top="0.32" bottom="0.5" header="0" footer="0.25"/>
  <pageSetup scale="94" orientation="landscape" horizontalDpi="4294967292"/>
  <headerFooter>
    <oddFooter xml:space="preserve">&amp;L&amp;6                                                                This template was created by the South Dakota SBDC and is authorized for use by the organization listed above.&amp;R&amp;"Arial MT,Bold"&amp;8&amp;D     &amp;T                                                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Inc1</vt:lpstr>
      <vt:lpstr>CF1</vt:lpstr>
      <vt:lpstr>BS1</vt:lpstr>
      <vt:lpstr>Loan</vt:lpstr>
      <vt:lpstr>Am</vt:lpstr>
      <vt:lpstr>BE</vt:lpstr>
      <vt:lpstr>Am!Print_Area</vt:lpstr>
      <vt:lpstr>BE!Print_Area</vt:lpstr>
      <vt:lpstr>'BS1'!Print_Area</vt:lpstr>
      <vt:lpstr>'CF1'!Print_Area</vt:lpstr>
      <vt:lpstr>'Inc1'!Print_Area</vt:lpstr>
      <vt:lpstr>Loan!Print_Area</vt:lpstr>
    </vt:vector>
  </TitlesOfParts>
  <Manager>Mark Slade (605) 367-5757 mslade@usd.edu</Manager>
  <Company>The University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Projection Template Version 4.2</dc:title>
  <dc:creator>Southeast South Dakota SBDC</dc:creator>
  <cp:lastModifiedBy>Administrator</cp:lastModifiedBy>
  <cp:lastPrinted>2011-11-22T15:50:33Z</cp:lastPrinted>
  <dcterms:created xsi:type="dcterms:W3CDTF">1998-03-17T15:09:58Z</dcterms:created>
  <dcterms:modified xsi:type="dcterms:W3CDTF">2020-10-09T16:46:49Z</dcterms:modified>
</cp:coreProperties>
</file>